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I HAS D\PAK HERI- AKUTANSI\RKAT_Pak Heri_27082023\"/>
    </mc:Choice>
  </mc:AlternateContent>
  <xr:revisionPtr revIDLastSave="0" documentId="13_ncr:1_{3F1B5B8F-F658-4E09-B3ED-C24A890AC5FF}" xr6:coauthVersionLast="47" xr6:coauthVersionMax="47" xr10:uidLastSave="{00000000-0000-0000-0000-000000000000}"/>
  <bookViews>
    <workbookView xWindow="-108" yWindow="-108" windowWidth="23256" windowHeight="12456" firstSheet="4" activeTab="7" xr2:uid="{00000000-000D-0000-FFFF-FFFF00000000}"/>
  </bookViews>
  <sheets>
    <sheet name="MHSW" sheetId="3" r:id="rId1"/>
    <sheet name="POTENSI GASAL" sheetId="13" r:id="rId2"/>
    <sheet name="Estimasi Penerimaan Gasal" sheetId="7" r:id="rId3"/>
    <sheet name="POTENSI GENAP" sheetId="6" r:id="rId4"/>
    <sheet name="Estimasi Penerimaan Genap" sheetId="8" r:id="rId5"/>
    <sheet name="Rencana Alokasi Anggaran" sheetId="9" r:id="rId6"/>
    <sheet name="Rekapitulasi T.A. 2023-2024" sheetId="10" r:id="rId7"/>
    <sheet name="Rekapitulasi Gsl&amp;Genap" sheetId="12" r:id="rId8"/>
  </sheets>
  <externalReferences>
    <externalReference r:id="rId9"/>
    <externalReference r:id="rId10"/>
    <externalReference r:id="rId11"/>
    <externalReference r:id="rId12"/>
  </externalReferences>
  <definedNames>
    <definedName name="_xlnm.Print_Area" localSheetId="2">'Estimasi Penerimaan Gasal'!$A$1:$L$29</definedName>
    <definedName name="_xlnm.Print_Area" localSheetId="4">'Estimasi Penerimaan Genap'!$A$1:$L$28</definedName>
    <definedName name="_xlnm.Print_Area" localSheetId="0">MHSW!$A$1:$T$32</definedName>
    <definedName name="_xlnm.Print_Area" localSheetId="7">'Rekapitulasi Gsl&amp;Genap'!$A$1:$J$17</definedName>
    <definedName name="_xlnm.Print_Area" localSheetId="6">'Rekapitulasi T.A. 2023-2024'!$A$1:$I$32</definedName>
    <definedName name="_xlnm.Print_Area" localSheetId="5">'Rencana Alokasi Anggaran'!$A$1:$L$111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12" l="1"/>
  <c r="H14" i="3"/>
  <c r="H15" i="3"/>
  <c r="H16" i="3"/>
  <c r="E90" i="9" l="1"/>
  <c r="E86" i="9"/>
  <c r="E85" i="9"/>
  <c r="E37" i="9"/>
  <c r="G28" i="3"/>
  <c r="F28" i="3"/>
  <c r="E28" i="3"/>
  <c r="D28" i="3"/>
  <c r="G27" i="3"/>
  <c r="F27" i="3"/>
  <c r="E27" i="3"/>
  <c r="D27" i="3"/>
  <c r="G26" i="3"/>
  <c r="F26" i="3"/>
  <c r="E26" i="3"/>
  <c r="D26" i="3"/>
  <c r="D13" i="3"/>
  <c r="D12" i="3"/>
  <c r="D11" i="3"/>
  <c r="E13" i="3"/>
  <c r="E12" i="3"/>
  <c r="E11" i="3"/>
  <c r="F12" i="3"/>
  <c r="F13" i="3"/>
  <c r="F11" i="3"/>
  <c r="G13" i="3"/>
  <c r="C10" i="13" s="1"/>
  <c r="G12" i="3"/>
  <c r="C9" i="13" s="1"/>
  <c r="G11" i="3"/>
  <c r="C8" i="13" s="1"/>
  <c r="H29" i="10"/>
  <c r="G29" i="10"/>
  <c r="F29" i="10"/>
  <c r="E29" i="10"/>
  <c r="D29" i="10"/>
  <c r="C29" i="10"/>
  <c r="H27" i="10"/>
  <c r="G27" i="10"/>
  <c r="F27" i="10"/>
  <c r="E27" i="10"/>
  <c r="D27" i="10"/>
  <c r="C27" i="10"/>
  <c r="F32" i="10" l="1"/>
  <c r="D32" i="10"/>
  <c r="H32" i="10"/>
  <c r="E32" i="10"/>
  <c r="G32" i="10"/>
  <c r="C32" i="10"/>
  <c r="D19" i="13" l="1"/>
  <c r="D10" i="13"/>
  <c r="D9" i="13"/>
  <c r="D8" i="13"/>
  <c r="H79" i="13"/>
  <c r="G79" i="13"/>
  <c r="E78" i="13"/>
  <c r="C78" i="13"/>
  <c r="D78" i="13" s="1"/>
  <c r="H78" i="13" s="1"/>
  <c r="E77" i="13"/>
  <c r="C77" i="13"/>
  <c r="G77" i="13" s="1"/>
  <c r="E76" i="13"/>
  <c r="C76" i="13"/>
  <c r="D76" i="13" s="1"/>
  <c r="H76" i="13" s="1"/>
  <c r="H67" i="13"/>
  <c r="G67" i="13"/>
  <c r="F66" i="13"/>
  <c r="E66" i="13"/>
  <c r="F65" i="13"/>
  <c r="E65" i="13"/>
  <c r="F64" i="13"/>
  <c r="E64" i="13"/>
  <c r="H56" i="13"/>
  <c r="G56" i="13"/>
  <c r="F55" i="13"/>
  <c r="E55" i="13"/>
  <c r="F54" i="13"/>
  <c r="E54" i="13"/>
  <c r="F53" i="13"/>
  <c r="E53" i="13"/>
  <c r="H45" i="13"/>
  <c r="G45" i="13"/>
  <c r="F44" i="13"/>
  <c r="E44" i="13"/>
  <c r="F43" i="13"/>
  <c r="E43" i="13"/>
  <c r="F42" i="13"/>
  <c r="E42" i="13"/>
  <c r="H34" i="13"/>
  <c r="G34" i="13"/>
  <c r="F33" i="13"/>
  <c r="E33" i="13"/>
  <c r="F32" i="13"/>
  <c r="E32" i="13"/>
  <c r="F31" i="13"/>
  <c r="E31" i="13"/>
  <c r="J30" i="13"/>
  <c r="H22" i="13"/>
  <c r="G22" i="13"/>
  <c r="E21" i="13"/>
  <c r="D21" i="13"/>
  <c r="H21" i="13" s="1"/>
  <c r="E20" i="13"/>
  <c r="D20" i="13"/>
  <c r="H20" i="13" s="1"/>
  <c r="H19" i="13"/>
  <c r="E19" i="13"/>
  <c r="H11" i="13"/>
  <c r="G11" i="13"/>
  <c r="E10" i="13"/>
  <c r="C21" i="13"/>
  <c r="E9" i="13"/>
  <c r="C20" i="13"/>
  <c r="C32" i="13" s="1"/>
  <c r="C43" i="13" s="1"/>
  <c r="E8" i="13"/>
  <c r="C19" i="13"/>
  <c r="C31" i="13" s="1"/>
  <c r="C42" i="13" s="1"/>
  <c r="H13" i="12"/>
  <c r="G13" i="12"/>
  <c r="F13" i="12"/>
  <c r="E13" i="12"/>
  <c r="D13" i="12"/>
  <c r="I11" i="12"/>
  <c r="I17" i="12" s="1"/>
  <c r="H11" i="12"/>
  <c r="G11" i="12"/>
  <c r="F11" i="12"/>
  <c r="E11" i="12"/>
  <c r="E17" i="12" s="1"/>
  <c r="D11" i="12"/>
  <c r="C11" i="12"/>
  <c r="L108" i="9"/>
  <c r="K108" i="9"/>
  <c r="J108" i="9"/>
  <c r="I108" i="9"/>
  <c r="H108" i="9"/>
  <c r="G108" i="9"/>
  <c r="F108" i="9"/>
  <c r="E108" i="9"/>
  <c r="L106" i="9"/>
  <c r="K104" i="9"/>
  <c r="J104" i="9"/>
  <c r="I104" i="9"/>
  <c r="H104" i="9"/>
  <c r="G104" i="9"/>
  <c r="F104" i="9"/>
  <c r="E104" i="9"/>
  <c r="L102" i="9"/>
  <c r="L101" i="9"/>
  <c r="L104" i="9" s="1"/>
  <c r="K97" i="9"/>
  <c r="J97" i="9"/>
  <c r="I97" i="9"/>
  <c r="H97" i="9"/>
  <c r="H99" i="9" s="1"/>
  <c r="G97" i="9"/>
  <c r="G99" i="9" s="1"/>
  <c r="F97" i="9"/>
  <c r="E95" i="9"/>
  <c r="L95" i="9" s="1"/>
  <c r="K93" i="9"/>
  <c r="J93" i="9"/>
  <c r="I93" i="9"/>
  <c r="H93" i="9"/>
  <c r="G93" i="9"/>
  <c r="F93" i="9"/>
  <c r="E93" i="9"/>
  <c r="L91" i="9"/>
  <c r="L90" i="9"/>
  <c r="L93" i="9" s="1"/>
  <c r="K88" i="9"/>
  <c r="J88" i="9"/>
  <c r="I88" i="9"/>
  <c r="H88" i="9"/>
  <c r="G88" i="9"/>
  <c r="F88" i="9"/>
  <c r="L87" i="9"/>
  <c r="L86" i="9"/>
  <c r="E88" i="9"/>
  <c r="L84" i="9"/>
  <c r="K82" i="9"/>
  <c r="J82" i="9"/>
  <c r="I82" i="9"/>
  <c r="H82" i="9"/>
  <c r="G82" i="9"/>
  <c r="F82" i="9"/>
  <c r="E82" i="9"/>
  <c r="L81" i="9"/>
  <c r="L80" i="9"/>
  <c r="L79" i="9"/>
  <c r="L78" i="9"/>
  <c r="L77" i="9"/>
  <c r="L76" i="9"/>
  <c r="L75" i="9"/>
  <c r="L74" i="9"/>
  <c r="L73" i="9"/>
  <c r="L72" i="9"/>
  <c r="L71" i="9"/>
  <c r="L70" i="9"/>
  <c r="L69" i="9"/>
  <c r="L68" i="9"/>
  <c r="K66" i="9"/>
  <c r="J66" i="9"/>
  <c r="I66" i="9"/>
  <c r="H66" i="9"/>
  <c r="G66" i="9"/>
  <c r="F66" i="9"/>
  <c r="E63" i="9"/>
  <c r="E62" i="9"/>
  <c r="E61" i="9"/>
  <c r="E60" i="9"/>
  <c r="E59" i="9"/>
  <c r="L59" i="9" s="1"/>
  <c r="E58" i="9"/>
  <c r="E66" i="9" s="1"/>
  <c r="K56" i="9"/>
  <c r="J56" i="9"/>
  <c r="I56" i="9"/>
  <c r="H56" i="9"/>
  <c r="G56" i="9"/>
  <c r="F56" i="9"/>
  <c r="L55" i="9"/>
  <c r="L54" i="9"/>
  <c r="L53" i="9"/>
  <c r="L52" i="9"/>
  <c r="L51" i="9"/>
  <c r="L50" i="9"/>
  <c r="L49" i="9"/>
  <c r="L48" i="9"/>
  <c r="L47" i="9"/>
  <c r="E46" i="9"/>
  <c r="L46" i="9" s="1"/>
  <c r="E45" i="9"/>
  <c r="L45" i="9" s="1"/>
  <c r="K43" i="9"/>
  <c r="J43" i="9"/>
  <c r="I43" i="9"/>
  <c r="H43" i="9"/>
  <c r="G43" i="9"/>
  <c r="F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E28" i="9"/>
  <c r="L28" i="9" s="1"/>
  <c r="E27" i="9"/>
  <c r="E26" i="9"/>
  <c r="L26" i="9" s="1"/>
  <c r="E25" i="9"/>
  <c r="L25" i="9" s="1"/>
  <c r="E24" i="9"/>
  <c r="L24" i="9" s="1"/>
  <c r="E23" i="9"/>
  <c r="L23" i="9" s="1"/>
  <c r="E22" i="9"/>
  <c r="L22" i="9" s="1"/>
  <c r="E21" i="9"/>
  <c r="E20" i="9"/>
  <c r="L20" i="9" s="1"/>
  <c r="E19" i="9"/>
  <c r="L19" i="9" s="1"/>
  <c r="E18" i="9"/>
  <c r="L18" i="9" s="1"/>
  <c r="E17" i="9"/>
  <c r="L17" i="9" s="1"/>
  <c r="E16" i="9"/>
  <c r="L16" i="9" s="1"/>
  <c r="E15" i="9"/>
  <c r="E14" i="9"/>
  <c r="E13" i="9"/>
  <c r="E12" i="9"/>
  <c r="L12" i="9" s="1"/>
  <c r="E11" i="9"/>
  <c r="L11" i="9" s="1"/>
  <c r="J28" i="8"/>
  <c r="K26" i="8"/>
  <c r="K18" i="8"/>
  <c r="K14" i="8"/>
  <c r="J29" i="7"/>
  <c r="K27" i="7"/>
  <c r="K26" i="7"/>
  <c r="K25" i="7"/>
  <c r="K24" i="7"/>
  <c r="K23" i="7"/>
  <c r="K22" i="7"/>
  <c r="K21" i="7"/>
  <c r="K20" i="7"/>
  <c r="K15" i="7"/>
  <c r="I99" i="9" l="1"/>
  <c r="J99" i="9"/>
  <c r="J111" i="9" s="1"/>
  <c r="I111" i="9"/>
  <c r="K99" i="9"/>
  <c r="L82" i="9"/>
  <c r="L56" i="9"/>
  <c r="F99" i="9"/>
  <c r="H8" i="13"/>
  <c r="D31" i="13"/>
  <c r="H31" i="13" s="1"/>
  <c r="H9" i="13"/>
  <c r="D32" i="13"/>
  <c r="D43" i="13" s="1"/>
  <c r="H43" i="13" s="1"/>
  <c r="H10" i="13"/>
  <c r="D33" i="13"/>
  <c r="D44" i="13" s="1"/>
  <c r="H44" i="13" s="1"/>
  <c r="G21" i="13"/>
  <c r="C33" i="13"/>
  <c r="C44" i="13" s="1"/>
  <c r="K46" i="13" s="1"/>
  <c r="D17" i="12"/>
  <c r="H17" i="12"/>
  <c r="G20" i="13"/>
  <c r="G19" i="13"/>
  <c r="G9" i="13"/>
  <c r="D77" i="13"/>
  <c r="H77" i="13" s="1"/>
  <c r="H80" i="13" s="1"/>
  <c r="L43" i="9"/>
  <c r="F17" i="12"/>
  <c r="C85" i="13"/>
  <c r="G17" i="12"/>
  <c r="C53" i="13"/>
  <c r="G42" i="13"/>
  <c r="C54" i="13"/>
  <c r="G43" i="13"/>
  <c r="H23" i="13"/>
  <c r="G10" i="13"/>
  <c r="G31" i="13"/>
  <c r="G78" i="13"/>
  <c r="G8" i="13"/>
  <c r="G32" i="13"/>
  <c r="G76" i="13"/>
  <c r="J11" i="12"/>
  <c r="F111" i="9"/>
  <c r="G111" i="9"/>
  <c r="K111" i="9"/>
  <c r="H111" i="9"/>
  <c r="E56" i="9"/>
  <c r="L85" i="9"/>
  <c r="L88" i="9" s="1"/>
  <c r="L58" i="9"/>
  <c r="L66" i="9" s="1"/>
  <c r="E97" i="9"/>
  <c r="E43" i="9"/>
  <c r="E99" i="9" l="1"/>
  <c r="D55" i="13"/>
  <c r="G23" i="13"/>
  <c r="H33" i="13"/>
  <c r="H12" i="13"/>
  <c r="G44" i="13"/>
  <c r="G46" i="13" s="1"/>
  <c r="C55" i="13"/>
  <c r="G55" i="13" s="1"/>
  <c r="D54" i="13"/>
  <c r="H54" i="13" s="1"/>
  <c r="L36" i="13"/>
  <c r="H32" i="13"/>
  <c r="D42" i="13"/>
  <c r="D53" i="13" s="1"/>
  <c r="G33" i="13"/>
  <c r="G35" i="13" s="1"/>
  <c r="H24" i="13"/>
  <c r="H25" i="13" s="1"/>
  <c r="G12" i="13"/>
  <c r="G54" i="13"/>
  <c r="C65" i="13"/>
  <c r="G65" i="13" s="1"/>
  <c r="H55" i="13"/>
  <c r="D66" i="13"/>
  <c r="H66" i="13" s="1"/>
  <c r="G53" i="13"/>
  <c r="C64" i="13"/>
  <c r="G64" i="13" s="1"/>
  <c r="G80" i="13"/>
  <c r="H81" i="13" s="1"/>
  <c r="H82" i="13" s="1"/>
  <c r="L97" i="9"/>
  <c r="H13" i="13" l="1"/>
  <c r="D13" i="7" s="1"/>
  <c r="K13" i="7" s="1"/>
  <c r="H42" i="13"/>
  <c r="H46" i="13" s="1"/>
  <c r="C66" i="13"/>
  <c r="G66" i="13" s="1"/>
  <c r="L46" i="13"/>
  <c r="H35" i="13"/>
  <c r="H36" i="13" s="1"/>
  <c r="H37" i="13" s="1"/>
  <c r="I12" i="7" s="1"/>
  <c r="D65" i="13"/>
  <c r="H65" i="13" s="1"/>
  <c r="E19" i="7"/>
  <c r="I19" i="7"/>
  <c r="F19" i="7"/>
  <c r="D19" i="7"/>
  <c r="H19" i="7"/>
  <c r="G19" i="7"/>
  <c r="F13" i="8"/>
  <c r="D13" i="8"/>
  <c r="F14" i="7"/>
  <c r="D14" i="7"/>
  <c r="G13" i="8"/>
  <c r="G14" i="7"/>
  <c r="H13" i="8"/>
  <c r="H14" i="7"/>
  <c r="E13" i="8"/>
  <c r="I13" i="8"/>
  <c r="E14" i="7"/>
  <c r="I14" i="7"/>
  <c r="G68" i="13"/>
  <c r="H47" i="13"/>
  <c r="H48" i="13" s="1"/>
  <c r="G57" i="13"/>
  <c r="H53" i="13"/>
  <c r="H57" i="13" s="1"/>
  <c r="D64" i="13"/>
  <c r="H64" i="13" s="1"/>
  <c r="L99" i="9"/>
  <c r="L111" i="9" s="1"/>
  <c r="E111" i="9"/>
  <c r="I29" i="10" s="1"/>
  <c r="K19" i="7" l="1"/>
  <c r="H68" i="13"/>
  <c r="H69" i="13" s="1"/>
  <c r="H70" i="13" s="1"/>
  <c r="F17" i="7" s="1"/>
  <c r="D12" i="7"/>
  <c r="G12" i="7"/>
  <c r="H12" i="7"/>
  <c r="F12" i="7"/>
  <c r="E12" i="7"/>
  <c r="F11" i="7"/>
  <c r="D11" i="7"/>
  <c r="G11" i="7"/>
  <c r="H11" i="7"/>
  <c r="E11" i="7"/>
  <c r="I11" i="7"/>
  <c r="K14" i="7"/>
  <c r="K13" i="8"/>
  <c r="H58" i="13"/>
  <c r="H59" i="13" s="1"/>
  <c r="H132" i="6"/>
  <c r="G132" i="6"/>
  <c r="G131" i="6"/>
  <c r="F131" i="6"/>
  <c r="G130" i="6"/>
  <c r="F130" i="6"/>
  <c r="G129" i="6"/>
  <c r="F129" i="6"/>
  <c r="H121" i="6"/>
  <c r="G121" i="6"/>
  <c r="G120" i="6"/>
  <c r="F120" i="6"/>
  <c r="G119" i="6"/>
  <c r="F119" i="6"/>
  <c r="G118" i="6"/>
  <c r="F118" i="6"/>
  <c r="H110" i="6"/>
  <c r="G110" i="6"/>
  <c r="G109" i="6"/>
  <c r="G108" i="6"/>
  <c r="G107" i="6"/>
  <c r="H99" i="6"/>
  <c r="G99" i="6"/>
  <c r="G98" i="6"/>
  <c r="F98" i="6"/>
  <c r="G97" i="6"/>
  <c r="F97" i="6"/>
  <c r="G96" i="6"/>
  <c r="F96" i="6"/>
  <c r="H88" i="6"/>
  <c r="G88" i="6"/>
  <c r="G87" i="6"/>
  <c r="G86" i="6"/>
  <c r="G85" i="6"/>
  <c r="H77" i="6"/>
  <c r="G77" i="6"/>
  <c r="G76" i="6"/>
  <c r="G75" i="6"/>
  <c r="G74" i="6"/>
  <c r="H66" i="6"/>
  <c r="G66" i="6"/>
  <c r="G65" i="6"/>
  <c r="D65" i="6"/>
  <c r="D87" i="6" s="1"/>
  <c r="H87" i="6" s="1"/>
  <c r="G64" i="6"/>
  <c r="D64" i="6"/>
  <c r="D75" i="6" s="1"/>
  <c r="G63" i="6"/>
  <c r="D63" i="6"/>
  <c r="D74" i="6" s="1"/>
  <c r="H55" i="6"/>
  <c r="G55" i="6"/>
  <c r="G54" i="6"/>
  <c r="F54" i="6"/>
  <c r="D54" i="6"/>
  <c r="G53" i="6"/>
  <c r="F53" i="6"/>
  <c r="D53" i="6"/>
  <c r="G52" i="6"/>
  <c r="F52" i="6"/>
  <c r="D52" i="6"/>
  <c r="H44" i="6"/>
  <c r="G44" i="6"/>
  <c r="F43" i="6"/>
  <c r="E43" i="6"/>
  <c r="F42" i="6"/>
  <c r="E42" i="6"/>
  <c r="F41" i="6"/>
  <c r="E41" i="6"/>
  <c r="H33" i="6"/>
  <c r="G33" i="6"/>
  <c r="F32" i="6"/>
  <c r="E32" i="6"/>
  <c r="F31" i="6"/>
  <c r="E31" i="6"/>
  <c r="F30" i="6"/>
  <c r="E30" i="6"/>
  <c r="H22" i="6"/>
  <c r="G22" i="6"/>
  <c r="F21" i="6"/>
  <c r="E21" i="6"/>
  <c r="D21" i="6"/>
  <c r="C21" i="6"/>
  <c r="F20" i="6"/>
  <c r="E20" i="6"/>
  <c r="D20" i="6"/>
  <c r="C20" i="6"/>
  <c r="F19" i="6"/>
  <c r="E19" i="6"/>
  <c r="D19" i="6"/>
  <c r="C19" i="6"/>
  <c r="J18" i="6"/>
  <c r="H11" i="6"/>
  <c r="G11" i="6"/>
  <c r="F10" i="6"/>
  <c r="E10" i="6"/>
  <c r="F9" i="6"/>
  <c r="E9" i="6"/>
  <c r="F8" i="6"/>
  <c r="E8" i="6"/>
  <c r="D32" i="3"/>
  <c r="C32" i="3"/>
  <c r="H31" i="3"/>
  <c r="H30" i="3"/>
  <c r="H29" i="3"/>
  <c r="H28" i="3"/>
  <c r="E32" i="3"/>
  <c r="H27" i="3"/>
  <c r="G32" i="3"/>
  <c r="F32" i="3"/>
  <c r="H26" i="3"/>
  <c r="K12" i="7" l="1"/>
  <c r="I17" i="7"/>
  <c r="G17" i="7"/>
  <c r="E17" i="7"/>
  <c r="D17" i="7"/>
  <c r="H17" i="7"/>
  <c r="F16" i="7"/>
  <c r="F29" i="7" s="1"/>
  <c r="E11" i="10" s="1"/>
  <c r="D16" i="7"/>
  <c r="G16" i="7"/>
  <c r="H16" i="7"/>
  <c r="H29" i="7" s="1"/>
  <c r="G11" i="10" s="1"/>
  <c r="E16" i="7"/>
  <c r="I16" i="7"/>
  <c r="I29" i="7" s="1"/>
  <c r="H11" i="10" s="1"/>
  <c r="K11" i="7"/>
  <c r="H32" i="3"/>
  <c r="G111" i="6"/>
  <c r="G100" i="6"/>
  <c r="H52" i="6"/>
  <c r="G78" i="6"/>
  <c r="H65" i="6"/>
  <c r="D76" i="6"/>
  <c r="D98" i="6" s="1"/>
  <c r="H98" i="6" s="1"/>
  <c r="G89" i="6"/>
  <c r="G67" i="6"/>
  <c r="G19" i="6"/>
  <c r="G20" i="6"/>
  <c r="G21" i="6"/>
  <c r="G56" i="6"/>
  <c r="H54" i="6"/>
  <c r="G122" i="6"/>
  <c r="G133" i="6"/>
  <c r="H19" i="6"/>
  <c r="H21" i="6"/>
  <c r="H53" i="6"/>
  <c r="C8" i="6"/>
  <c r="C30" i="6" s="1"/>
  <c r="C41" i="6" s="1"/>
  <c r="G41" i="6" s="1"/>
  <c r="C9" i="6"/>
  <c r="C31" i="6" s="1"/>
  <c r="C42" i="6" s="1"/>
  <c r="G42" i="6" s="1"/>
  <c r="C10" i="6"/>
  <c r="C32" i="6" s="1"/>
  <c r="C43" i="6" s="1"/>
  <c r="G43" i="6" s="1"/>
  <c r="L24" i="6"/>
  <c r="D8" i="6"/>
  <c r="D30" i="6" s="1"/>
  <c r="H30" i="6" s="1"/>
  <c r="D9" i="6"/>
  <c r="D31" i="6" s="1"/>
  <c r="H31" i="6" s="1"/>
  <c r="D10" i="6"/>
  <c r="D32" i="6" s="1"/>
  <c r="D43" i="6" s="1"/>
  <c r="H43" i="6" s="1"/>
  <c r="D97" i="6"/>
  <c r="H75" i="6"/>
  <c r="D96" i="6"/>
  <c r="H74" i="6"/>
  <c r="D86" i="6"/>
  <c r="H86" i="6" s="1"/>
  <c r="H20" i="6"/>
  <c r="D85" i="6"/>
  <c r="H85" i="6" s="1"/>
  <c r="H64" i="6"/>
  <c r="H63" i="6"/>
  <c r="D42" i="6" l="1"/>
  <c r="H42" i="6" s="1"/>
  <c r="G32" i="6"/>
  <c r="G30" i="6"/>
  <c r="G29" i="7"/>
  <c r="F11" i="10" s="1"/>
  <c r="K17" i="7"/>
  <c r="E29" i="7"/>
  <c r="D11" i="10" s="1"/>
  <c r="K16" i="7"/>
  <c r="D29" i="7"/>
  <c r="C11" i="10" s="1"/>
  <c r="G8" i="6"/>
  <c r="H9" i="6"/>
  <c r="H56" i="6"/>
  <c r="H57" i="6" s="1"/>
  <c r="H58" i="6" s="1"/>
  <c r="H23" i="6"/>
  <c r="G31" i="6"/>
  <c r="G34" i="6" s="1"/>
  <c r="G9" i="6"/>
  <c r="H32" i="6"/>
  <c r="H34" i="6" s="1"/>
  <c r="H76" i="6"/>
  <c r="H78" i="6" s="1"/>
  <c r="H79" i="6" s="1"/>
  <c r="H80" i="6" s="1"/>
  <c r="D109" i="6"/>
  <c r="D120" i="6" s="1"/>
  <c r="H67" i="6"/>
  <c r="H68" i="6" s="1"/>
  <c r="H69" i="6" s="1"/>
  <c r="G23" i="6"/>
  <c r="H8" i="6"/>
  <c r="D41" i="6"/>
  <c r="H41" i="6" s="1"/>
  <c r="H45" i="6" s="1"/>
  <c r="H10" i="6"/>
  <c r="G10" i="6"/>
  <c r="G45" i="6"/>
  <c r="H89" i="6"/>
  <c r="H90" i="6" s="1"/>
  <c r="H91" i="6" s="1"/>
  <c r="H96" i="6"/>
  <c r="D107" i="6"/>
  <c r="D108" i="6"/>
  <c r="H97" i="6"/>
  <c r="G20" i="8" l="1"/>
  <c r="D20" i="8"/>
  <c r="F20" i="8"/>
  <c r="E20" i="8"/>
  <c r="H20" i="8"/>
  <c r="I20" i="8"/>
  <c r="E17" i="8"/>
  <c r="D17" i="8"/>
  <c r="F17" i="8"/>
  <c r="G17" i="8"/>
  <c r="H17" i="8"/>
  <c r="I17" i="8"/>
  <c r="F21" i="8"/>
  <c r="G21" i="8"/>
  <c r="H21" i="8"/>
  <c r="E21" i="8"/>
  <c r="I21" i="8"/>
  <c r="D21" i="8"/>
  <c r="H19" i="8"/>
  <c r="I19" i="8"/>
  <c r="D19" i="8"/>
  <c r="E19" i="8"/>
  <c r="F19" i="8"/>
  <c r="G19" i="8"/>
  <c r="K29" i="7"/>
  <c r="I11" i="10"/>
  <c r="H24" i="6"/>
  <c r="H25" i="6" s="1"/>
  <c r="H109" i="6"/>
  <c r="G12" i="6"/>
  <c r="H35" i="6"/>
  <c r="H36" i="6" s="1"/>
  <c r="H12" i="6"/>
  <c r="H100" i="6"/>
  <c r="H101" i="6" s="1"/>
  <c r="H102" i="6" s="1"/>
  <c r="D119" i="6"/>
  <c r="H108" i="6"/>
  <c r="D118" i="6"/>
  <c r="H107" i="6"/>
  <c r="D131" i="6"/>
  <c r="H131" i="6" s="1"/>
  <c r="H120" i="6"/>
  <c r="H46" i="6"/>
  <c r="H47" i="6" s="1"/>
  <c r="I12" i="8" l="1"/>
  <c r="H12" i="8"/>
  <c r="E12" i="8"/>
  <c r="F12" i="8"/>
  <c r="G12" i="8"/>
  <c r="D12" i="8"/>
  <c r="K17" i="8"/>
  <c r="E16" i="8"/>
  <c r="H16" i="8"/>
  <c r="I16" i="8"/>
  <c r="D16" i="8"/>
  <c r="F16" i="8"/>
  <c r="G16" i="8"/>
  <c r="D22" i="8"/>
  <c r="G22" i="8"/>
  <c r="H22" i="8"/>
  <c r="I22" i="8"/>
  <c r="E22" i="8"/>
  <c r="F22" i="8"/>
  <c r="F15" i="8"/>
  <c r="I15" i="8"/>
  <c r="G15" i="8"/>
  <c r="H15" i="8"/>
  <c r="D15" i="8"/>
  <c r="E15" i="8"/>
  <c r="K19" i="8"/>
  <c r="K21" i="8"/>
  <c r="K20" i="8"/>
  <c r="H13" i="6"/>
  <c r="H14" i="6" s="1"/>
  <c r="H111" i="6"/>
  <c r="H112" i="6" s="1"/>
  <c r="H113" i="6" s="1"/>
  <c r="D129" i="6"/>
  <c r="H129" i="6" s="1"/>
  <c r="H118" i="6"/>
  <c r="D130" i="6"/>
  <c r="H130" i="6" s="1"/>
  <c r="H119" i="6"/>
  <c r="K22" i="8" l="1"/>
  <c r="K16" i="8"/>
  <c r="K15" i="8"/>
  <c r="K12" i="8"/>
  <c r="H23" i="8"/>
  <c r="I23" i="8"/>
  <c r="E23" i="8"/>
  <c r="F23" i="8"/>
  <c r="G23" i="8"/>
  <c r="D23" i="8"/>
  <c r="D11" i="8"/>
  <c r="G11" i="8"/>
  <c r="H11" i="8"/>
  <c r="I11" i="8"/>
  <c r="E11" i="8"/>
  <c r="F11" i="8"/>
  <c r="H122" i="6"/>
  <c r="H123" i="6" s="1"/>
  <c r="H124" i="6" s="1"/>
  <c r="H133" i="6"/>
  <c r="H134" i="6" s="1"/>
  <c r="H135" i="6" s="1"/>
  <c r="F24" i="8" l="1"/>
  <c r="G24" i="8"/>
  <c r="G28" i="8" s="1"/>
  <c r="H24" i="8"/>
  <c r="I24" i="8"/>
  <c r="I28" i="8" s="1"/>
  <c r="D24" i="8"/>
  <c r="K24" i="8" s="1"/>
  <c r="E24" i="8"/>
  <c r="K11" i="8"/>
  <c r="E25" i="8"/>
  <c r="E28" i="8" s="1"/>
  <c r="H25" i="8"/>
  <c r="H28" i="8" s="1"/>
  <c r="I25" i="8"/>
  <c r="D25" i="8"/>
  <c r="F25" i="8"/>
  <c r="F28" i="8" s="1"/>
  <c r="G25" i="8"/>
  <c r="K23" i="8"/>
  <c r="H12" i="3"/>
  <c r="H13" i="3"/>
  <c r="K25" i="8" l="1"/>
  <c r="D28" i="8"/>
  <c r="K28" i="8"/>
  <c r="H11" i="3"/>
  <c r="D15" i="10" l="1"/>
  <c r="H15" i="10"/>
  <c r="E15" i="10"/>
  <c r="C15" i="10"/>
  <c r="F15" i="10"/>
  <c r="G15" i="10"/>
  <c r="C17" i="3"/>
  <c r="D17" i="3"/>
  <c r="E17" i="3"/>
  <c r="F17" i="3"/>
  <c r="G17" i="3"/>
  <c r="H17" i="3" l="1"/>
  <c r="I15" i="10" l="1"/>
  <c r="I18" i="10" s="1"/>
  <c r="I27" i="10" s="1"/>
  <c r="I32" i="10" s="1"/>
  <c r="J13" i="12"/>
  <c r="J17" i="12" s="1"/>
  <c r="C17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Heriyanto</author>
  </authors>
  <commentList>
    <comment ref="A1" authorId="0" shapeId="0" xr:uid="{81D14DA5-A37C-4F7D-A8AF-31C2A50BFAB9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Potensi Pemasukan baru dari sumber SPP belum ada unsur Penerimaan dari lainnya seperti UTS/UAS, Uang Sidang dll</t>
        </r>
      </text>
    </comment>
    <comment ref="J29" authorId="0" shapeId="0" xr:uid="{29A7C304-00AA-4C65-BF3C-D8ED85C24B02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Proyeksi Penerimaannya baru dari unsur SPP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Heriyanto</author>
  </authors>
  <commentList>
    <comment ref="A1" authorId="0" shapeId="0" xr:uid="{C63B3225-A98C-4C3F-96CD-25FEC3D69189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Potensi Pemasukan baru dari sumber SPP belum ada unsur Penerimaan dari lainnya seperti UTS/UAS, Uang Sidang dll</t>
        </r>
      </text>
    </comment>
    <comment ref="J17" authorId="0" shapeId="0" xr:uid="{119B8580-6A56-41F3-9423-556B098FDA1E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Proyeksi Penerimaannya baru dari unsur SPP</t>
        </r>
      </text>
    </comment>
  </commentList>
</comments>
</file>

<file path=xl/sharedStrings.xml><?xml version="1.0" encoding="utf-8"?>
<sst xmlns="http://schemas.openxmlformats.org/spreadsheetml/2006/main" count="631" uniqueCount="206">
  <si>
    <t>PROGRAM STUDI</t>
  </si>
  <si>
    <t>NO</t>
  </si>
  <si>
    <t>JML</t>
  </si>
  <si>
    <t>PEMUTAKHIRAN JUMLAH MAHASISWA AKTIF</t>
  </si>
  <si>
    <t xml:space="preserve"> </t>
  </si>
  <si>
    <t>POTENSI PEMASUKAN</t>
  </si>
  <si>
    <t>SMT 1</t>
  </si>
  <si>
    <t>JUMLAH TOTAL POTENSI PEMASUKAN DARI MHSW REGULER</t>
  </si>
  <si>
    <t>BESARAN POTENSI PEMASUKAN SMT 1</t>
  </si>
  <si>
    <t>JUMLAH POTENSI PEMASUKAN DARI MHSW REGULER</t>
  </si>
  <si>
    <t>JUMLAH TOTAL POTENSI PEMASUKAN</t>
  </si>
  <si>
    <t>STAI HAJI AGUS SALIM</t>
  </si>
  <si>
    <t>SEMESTER GASAL 23/24</t>
  </si>
  <si>
    <t>PAI A</t>
  </si>
  <si>
    <t>PAI B</t>
  </si>
  <si>
    <t xml:space="preserve">HES </t>
  </si>
  <si>
    <t>TAHUN AKADEMIK</t>
  </si>
  <si>
    <t>JML MHSW SMT 1</t>
  </si>
  <si>
    <t xml:space="preserve">JML MHSW </t>
  </si>
  <si>
    <t>BESARAN BIAYA SPP</t>
  </si>
  <si>
    <t>SMT 3, 5, 7</t>
  </si>
  <si>
    <t>JUMLAH POTENSI PEMASUKAN DARI SELURUH MHSW</t>
  </si>
  <si>
    <t>BESARAN POTENSI PEMASUKAN SMT 3,5,7</t>
  </si>
  <si>
    <t>BESARAN BIAYA DAFTAR ULANG</t>
  </si>
  <si>
    <t>SPP</t>
  </si>
  <si>
    <t>DAFTAR ULANG</t>
  </si>
  <si>
    <t>UTS</t>
  </si>
  <si>
    <t>UAS</t>
  </si>
  <si>
    <t>SEMESTER GENAP 2023/2024</t>
  </si>
  <si>
    <t>PPLK</t>
  </si>
  <si>
    <t>BESARAN POTENSI PEMASUKAN KKN</t>
  </si>
  <si>
    <t>SMT 6</t>
  </si>
  <si>
    <t>KKN</t>
  </si>
  <si>
    <t>SMT 8</t>
  </si>
  <si>
    <t>SEMINAR PROPOSAL</t>
  </si>
  <si>
    <t>BESARAN POTENSI PEMASUKAN SEMPRO</t>
  </si>
  <si>
    <t>BIMBINGAN</t>
  </si>
  <si>
    <t>BESARAN POTENSI PEMASUKAN BIMBINGAN</t>
  </si>
  <si>
    <t>MUNAQOSYAH</t>
  </si>
  <si>
    <t>BESARAN POTENSI PEMASUKAN MUNAQ</t>
  </si>
  <si>
    <t>PENJILIDAN</t>
  </si>
  <si>
    <t>IJAZAH &amp; LEGALISIR</t>
  </si>
  <si>
    <t>WISUDA</t>
  </si>
  <si>
    <t>RENCANA PENERIMAAN SEMESTER GASAL</t>
  </si>
  <si>
    <t>PROGRAM STUDI : PAI DAN HES</t>
  </si>
  <si>
    <t>SEKOLAH TINGGI AGAMA ISLAM HAJI AGUS SALIM</t>
  </si>
  <si>
    <t>TAHUN AKADEMIK : 2023/2024</t>
  </si>
  <si>
    <t>JENIS PENERIMAAN</t>
  </si>
  <si>
    <t>RENCANA  (BULANAN) ESTIMASI  PENERIMAAN</t>
  </si>
  <si>
    <t>TOTAL RENCANA PENERIMAAN</t>
  </si>
  <si>
    <t>AGUSTUS</t>
  </si>
  <si>
    <t>SEPTEMBER</t>
  </si>
  <si>
    <t>OKTOBER</t>
  </si>
  <si>
    <t>NOVEMBER</t>
  </si>
  <si>
    <t>DESEMBER</t>
  </si>
  <si>
    <t>JANUARI</t>
  </si>
  <si>
    <t>PENERIMAAN FAKULTAS</t>
  </si>
  <si>
    <t>Pendapatan Daftar Ulang</t>
  </si>
  <si>
    <t>Pendapatan SPP Mahasiswa</t>
  </si>
  <si>
    <t>Pendapatan Dana Mabimaru</t>
  </si>
  <si>
    <t xml:space="preserve">Pendapatan Dana Bangunan </t>
  </si>
  <si>
    <t>Pendapatan Dana Praktikum</t>
  </si>
  <si>
    <t>Pendapatan Dana UTS</t>
  </si>
  <si>
    <t>Pendapatan Dana UAS</t>
  </si>
  <si>
    <t>Pendapatan PPLK/S</t>
  </si>
  <si>
    <t>Ujian Komprehensif</t>
  </si>
  <si>
    <t>TOTAL</t>
  </si>
  <si>
    <t>RENCANA PENERIMAAN SEMESTER GENAP</t>
  </si>
  <si>
    <t>FEBRUARI</t>
  </si>
  <si>
    <t>MARET</t>
  </si>
  <si>
    <t>APRIL</t>
  </si>
  <si>
    <t>MEI</t>
  </si>
  <si>
    <t>JUNI</t>
  </si>
  <si>
    <t>JULI</t>
  </si>
  <si>
    <t>Pendapatan KKN</t>
  </si>
  <si>
    <t>Pendapatan SEMPRO</t>
  </si>
  <si>
    <t>Pendapatan Bimbingan Tugas Akhir</t>
  </si>
  <si>
    <t>Pendapatan Ujian Munaqosyah</t>
  </si>
  <si>
    <t>Pendapatan Penjilidan</t>
  </si>
  <si>
    <t>Pendapatan Ijazah &amp; Legalisir</t>
  </si>
  <si>
    <t>Pendapatan Wisuda</t>
  </si>
  <si>
    <t>-----------------------------</t>
  </si>
  <si>
    <t>NAMA MATA ANGGARAN</t>
  </si>
  <si>
    <t>R/P</t>
  </si>
  <si>
    <t>RENCANA  (BULANAN) ALOKASI  ANGGARAN</t>
  </si>
  <si>
    <t>TOTAL RENCANA ANGGARAN</t>
  </si>
  <si>
    <t>A</t>
  </si>
  <si>
    <t xml:space="preserve">PENINGKATAN LAYANAN TRIDHARMA PERGURUAN TINGGI </t>
  </si>
  <si>
    <t>PENDIDIKAN DAN PENGAJARAN</t>
  </si>
  <si>
    <t xml:space="preserve">Pelaksanaan Kegiatan Akademik </t>
  </si>
  <si>
    <t>Pelaksanaan PMB 2023-2024</t>
  </si>
  <si>
    <t>R</t>
  </si>
  <si>
    <t>Ujian Tengah Semester Gasal</t>
  </si>
  <si>
    <t xml:space="preserve">Ujian Akhir Semester Gasal </t>
  </si>
  <si>
    <t>Ujian Akhir Semester Genap</t>
  </si>
  <si>
    <t>Pelaksanaan   PPKL / PPLS</t>
  </si>
  <si>
    <t>Pelaksanaan KKN</t>
  </si>
  <si>
    <t>Pelaksanaan Ujian Komprehensif</t>
  </si>
  <si>
    <t>Pelaksanaan Seminar Proposal</t>
  </si>
  <si>
    <t>Pelaksanaan Bimbingan Skripsi</t>
  </si>
  <si>
    <t>Pelaksanaan Sidang Munaqosyah</t>
  </si>
  <si>
    <t>Ijazah &amp; Legalisir</t>
  </si>
  <si>
    <t xml:space="preserve">Penjilidan </t>
  </si>
  <si>
    <t>Wisuda</t>
  </si>
  <si>
    <t xml:space="preserve">Kerohiman Pengelola dan Dosen </t>
  </si>
  <si>
    <t>Kegiatan Mahasiswa</t>
  </si>
  <si>
    <t xml:space="preserve">PERSIAPAN AKREDITASI </t>
  </si>
  <si>
    <t>MONEV (PAI DAN HES)</t>
  </si>
  <si>
    <t>Ujian Skripsi/ TA</t>
  </si>
  <si>
    <t>Peningkatan Kualitas Akademik Dosen</t>
  </si>
  <si>
    <t>P</t>
  </si>
  <si>
    <t>Diskusi Ilmiah Dosen</t>
  </si>
  <si>
    <t>Seminar/Lokakarya Regional Akademik Dosen</t>
  </si>
  <si>
    <t>Seminar/Lokakarya Nasional Akademik Dosen</t>
  </si>
  <si>
    <t>Workshop/Pelatihan Dosen</t>
  </si>
  <si>
    <t>Pengiriman Diskusi Ilmiah Dosen</t>
  </si>
  <si>
    <t>Pengiriman Seminar/Lokakarya Regional Akademik Dosen</t>
  </si>
  <si>
    <t>Pengiriman Workshop/Pelatihan Dosen</t>
  </si>
  <si>
    <t>Penelitian Kompetisi Dosen</t>
  </si>
  <si>
    <t>Penyusunan/ Penyempurnaan Kurikulum</t>
  </si>
  <si>
    <t>Penyusunan Sarana Pengajaran (GBPP, SAP, SILABI, TRANSPARAN SHEET MENGAJAR, dll)</t>
  </si>
  <si>
    <t>Penyusunan Bahan Ajar (DIKTAT, MODUL, dll)</t>
  </si>
  <si>
    <t>…………………………………</t>
  </si>
  <si>
    <t>Sub Total</t>
  </si>
  <si>
    <t>Pembayaran Gaji dan Tunjangan Dosen dan Pegawai</t>
  </si>
  <si>
    <t>Pembayaran Gaji PENGELOLA DAN DOSEN</t>
  </si>
  <si>
    <t>Pembayaran THR PENGELOLA DAN DOSEN</t>
  </si>
  <si>
    <t>Pembayaran Gaji Karyawan Tetap</t>
  </si>
  <si>
    <t>Pembayaran Gaji Tenaga Administratif Reguler</t>
  </si>
  <si>
    <t>Pembayaran Gaji Tenaga Kontrak</t>
  </si>
  <si>
    <t>Pembayaran Gaji Tenaga Harian</t>
  </si>
  <si>
    <t>Pembayaran Tunjangan Fungsional</t>
  </si>
  <si>
    <t>Pembayaran Tunjangan Struktural</t>
  </si>
  <si>
    <t>Pembayaran Transport Struktural</t>
  </si>
  <si>
    <t>Pembayaran Kelebihan Beban Mengajar</t>
  </si>
  <si>
    <t xml:space="preserve">Pemeliharaan Fasilitas Akademik </t>
  </si>
  <si>
    <t>Pemeliharaan all gedung</t>
  </si>
  <si>
    <t>ATK</t>
  </si>
  <si>
    <t>BHP</t>
  </si>
  <si>
    <t>INTERNET</t>
  </si>
  <si>
    <t>TOKEN LISTRIK</t>
  </si>
  <si>
    <t>MOBIL</t>
  </si>
  <si>
    <t>…………………………</t>
  </si>
  <si>
    <t>Peningkatan Kualitas Akademik Mahasiswa</t>
  </si>
  <si>
    <t>Diskusi Ilmiah Mahasiswa</t>
  </si>
  <si>
    <t>Seminar/Lokakarya Regional Akademik Mahasiswa</t>
  </si>
  <si>
    <t>Seminar/Lokakarya Nasional Akademik Mahasiswa</t>
  </si>
  <si>
    <t>Pengiriman Diskusi Ilmiah Mahasiswa</t>
  </si>
  <si>
    <t>Pengiriman Seminar/Lokakarya Regional Akademik Mahasiswa</t>
  </si>
  <si>
    <t>Pengiriman Seminar/Lokakarya Nasional Akademik Mahasiswa</t>
  </si>
  <si>
    <t>Pembentukan Kelompok Studi</t>
  </si>
  <si>
    <t>Kuliah Dosen Tamu</t>
  </si>
  <si>
    <t>Kuliah Umum</t>
  </si>
  <si>
    <t>Workshop/Pelatihan Mahasiswa</t>
  </si>
  <si>
    <t>Penelitian Reguler Mahasiswa</t>
  </si>
  <si>
    <t>Penelitian Kompetisi Mahasiswa</t>
  </si>
  <si>
    <t>Penerbitan Karya Ilmiah &amp; Informasi Mahasiswa</t>
  </si>
  <si>
    <t>……………….</t>
  </si>
  <si>
    <t>Sosialisasi Produk Ilmiah Dosen</t>
  </si>
  <si>
    <t>Akreditasi Jurnal/Majalah</t>
  </si>
  <si>
    <t>Penerbitan Jurnal/Majalah</t>
  </si>
  <si>
    <t>Pemuatan karya dosen / Cetak buku</t>
  </si>
  <si>
    <t>………………..</t>
  </si>
  <si>
    <t xml:space="preserve">Konsolidasi Organisasi </t>
  </si>
  <si>
    <t>Rapat Pr0gram Studi</t>
  </si>
  <si>
    <t xml:space="preserve">Perjalanan Dinas </t>
  </si>
  <si>
    <t>Perjalanan Dinas Dalam Daerah (lokal &amp; regional)</t>
  </si>
  <si>
    <t>Total Pendidikan dan Pengajaran</t>
  </si>
  <si>
    <t>PELAKSANAAN KEGIATAN PENELITIAN</t>
  </si>
  <si>
    <t>Penelitian Reguler Dosen</t>
  </si>
  <si>
    <t>Penelitian Non Reguler Dosen</t>
  </si>
  <si>
    <t>Total Pelaksanaan Kegaitan Penelitian</t>
  </si>
  <si>
    <t>PELAKSANAAN KEGIATAN PENGABDIAN PADA MASYARAKAT</t>
  </si>
  <si>
    <t>Pengabdian Masyarakat Reguler Dosen</t>
  </si>
  <si>
    <t>……………………………………….</t>
  </si>
  <si>
    <t>Total Pelaksanaan Kegiatan Pengabdian Pada Masyarakat</t>
  </si>
  <si>
    <t>Program Peningkatan Kualitas Kemahasiswaan</t>
  </si>
  <si>
    <t>=</t>
  </si>
  <si>
    <t>Rutin</t>
  </si>
  <si>
    <t>Pengembangan</t>
  </si>
  <si>
    <t xml:space="preserve">LAPORAN RENCANA AKTIVITAS </t>
  </si>
  <si>
    <t>PERIODE TAHUN AKADEMIK 2023/2024</t>
  </si>
  <si>
    <t>No</t>
  </si>
  <si>
    <t>KETERANGAN</t>
  </si>
  <si>
    <t>BULANAN</t>
  </si>
  <si>
    <t xml:space="preserve">PENERIMAAN </t>
  </si>
  <si>
    <t>PENGELUARAN</t>
  </si>
  <si>
    <t>TOTAL RENCANA PENERIMAAN dan PENGELUARAN</t>
  </si>
  <si>
    <t>SEMESTER GASAL 2023/2024</t>
  </si>
  <si>
    <t>MABIMARU</t>
  </si>
  <si>
    <t>UANG BANGUNAN</t>
  </si>
  <si>
    <t xml:space="preserve">Yang belum melunasi Bangunan </t>
  </si>
  <si>
    <t xml:space="preserve">PAI A = 11 Mhs </t>
  </si>
  <si>
    <t xml:space="preserve">PAI B = 19 Mhs </t>
  </si>
  <si>
    <t xml:space="preserve">HES = 17 Mhs </t>
  </si>
  <si>
    <t>UJIAN KOMPREHENSIF</t>
  </si>
  <si>
    <t>JML MHSW SMT 7</t>
  </si>
  <si>
    <t>SMT 7</t>
  </si>
  <si>
    <t>JUMLAH TOTAL POTENSI PEMASUKAN DARI MHSW REGULER PER 6 BULAN</t>
  </si>
  <si>
    <t>JUMLAH TOTAL POTENSI PEMASUKAN DARI MHSW REGULER PER 12 BULAN</t>
  </si>
  <si>
    <t>PEBRUARI</t>
  </si>
  <si>
    <t>PENERIMAAN T.A. 2023-2024</t>
  </si>
  <si>
    <t>PENGELUARAN T.A. 2023-2024</t>
  </si>
  <si>
    <t>Rapat Fakultas (Pengelola, dosen)</t>
  </si>
  <si>
    <t>TOTAL RENCANA  PENGELUARAN</t>
  </si>
  <si>
    <t>RENCANA KEGIATAN DAN ANGGARAN TAHUNAN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</si>
</sst>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8"/>
      <name val="Calibri"/>
      <family val="2"/>
      <scheme val="minor"/>
    </font>
    <font>
      <b/>
      <sz val="12"/>
      <name val="Cambri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mbria"/>
      <family val="1"/>
    </font>
    <font>
      <sz val="9"/>
      <color theme="1"/>
      <name val="Cambria"/>
      <family val="1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/>
    <xf numFmtId="41" fontId="1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2" fillId="0" borderId="1" xfId="1" applyFont="1" applyBorder="1"/>
    <xf numFmtId="0" fontId="3" fillId="2" borderId="1" xfId="1" applyFont="1" applyFill="1" applyBorder="1" applyAlignment="1">
      <alignment horizontal="center"/>
    </xf>
    <xf numFmtId="165" fontId="2" fillId="0" borderId="1" xfId="2" applyNumberFormat="1" applyFont="1" applyBorder="1"/>
    <xf numFmtId="165" fontId="3" fillId="0" borderId="0" xfId="2" applyNumberFormat="1" applyFont="1" applyBorder="1"/>
    <xf numFmtId="165" fontId="3" fillId="2" borderId="0" xfId="1" applyNumberFormat="1" applyFont="1" applyFill="1"/>
    <xf numFmtId="0" fontId="2" fillId="3" borderId="1" xfId="1" applyFont="1" applyFill="1" applyBorder="1"/>
    <xf numFmtId="165" fontId="5" fillId="4" borderId="1" xfId="1" applyNumberFormat="1" applyFont="1" applyFill="1" applyBorder="1"/>
    <xf numFmtId="0" fontId="2" fillId="4" borderId="0" xfId="1" applyFont="1" applyFill="1" applyAlignment="1">
      <alignment horizontal="right"/>
    </xf>
    <xf numFmtId="165" fontId="3" fillId="4" borderId="0" xfId="1" applyNumberFormat="1" applyFont="1" applyFill="1" applyAlignment="1">
      <alignment horizontal="center"/>
    </xf>
    <xf numFmtId="165" fontId="3" fillId="4" borderId="0" xfId="1" applyNumberFormat="1" applyFont="1" applyFill="1"/>
    <xf numFmtId="0" fontId="13" fillId="0" borderId="0" xfId="3"/>
    <xf numFmtId="0" fontId="1" fillId="0" borderId="0" xfId="3" applyFont="1"/>
    <xf numFmtId="0" fontId="16" fillId="5" borderId="8" xfId="3" applyFont="1" applyFill="1" applyBorder="1" applyAlignment="1">
      <alignment horizontal="center" vertical="top"/>
    </xf>
    <xf numFmtId="0" fontId="16" fillId="5" borderId="9" xfId="3" applyFont="1" applyFill="1" applyBorder="1" applyAlignment="1">
      <alignment horizontal="center" vertical="top"/>
    </xf>
    <xf numFmtId="0" fontId="16" fillId="5" borderId="10" xfId="3" applyFont="1" applyFill="1" applyBorder="1" applyAlignment="1">
      <alignment horizontal="center" vertical="center"/>
    </xf>
    <xf numFmtId="0" fontId="16" fillId="6" borderId="10" xfId="3" applyFont="1" applyFill="1" applyBorder="1" applyAlignment="1">
      <alignment horizontal="center" vertical="center" wrapText="1"/>
    </xf>
    <xf numFmtId="0" fontId="17" fillId="5" borderId="14" xfId="3" applyFont="1" applyFill="1" applyBorder="1" applyAlignment="1">
      <alignment vertical="top"/>
    </xf>
    <xf numFmtId="0" fontId="17" fillId="5" borderId="15" xfId="3" applyFont="1" applyFill="1" applyBorder="1" applyAlignment="1">
      <alignment vertical="top"/>
    </xf>
    <xf numFmtId="0" fontId="17" fillId="5" borderId="16" xfId="3" applyFont="1" applyFill="1" applyBorder="1"/>
    <xf numFmtId="0" fontId="16" fillId="5" borderId="17" xfId="3" applyFont="1" applyFill="1" applyBorder="1" applyAlignment="1">
      <alignment horizontal="center"/>
    </xf>
    <xf numFmtId="0" fontId="16" fillId="6" borderId="16" xfId="3" applyFont="1" applyFill="1" applyBorder="1" applyAlignment="1">
      <alignment horizontal="center" vertical="center" wrapText="1"/>
    </xf>
    <xf numFmtId="0" fontId="1" fillId="0" borderId="14" xfId="3" applyFont="1" applyBorder="1" applyAlignment="1">
      <alignment horizontal="center" vertical="top"/>
    </xf>
    <xf numFmtId="0" fontId="1" fillId="0" borderId="15" xfId="3" applyFont="1" applyBorder="1" applyAlignment="1">
      <alignment vertical="top"/>
    </xf>
    <xf numFmtId="0" fontId="11" fillId="0" borderId="16" xfId="3" applyFont="1" applyBorder="1"/>
    <xf numFmtId="0" fontId="11" fillId="0" borderId="16" xfId="3" applyFont="1" applyBorder="1" applyAlignment="1">
      <alignment horizontal="center"/>
    </xf>
    <xf numFmtId="0" fontId="11" fillId="0" borderId="17" xfId="3" applyFont="1" applyBorder="1" applyAlignment="1">
      <alignment horizontal="center"/>
    </xf>
    <xf numFmtId="0" fontId="12" fillId="3" borderId="16" xfId="3" applyFont="1" applyFill="1" applyBorder="1"/>
    <xf numFmtId="0" fontId="18" fillId="3" borderId="16" xfId="3" applyFont="1" applyFill="1" applyBorder="1"/>
    <xf numFmtId="0" fontId="1" fillId="3" borderId="16" xfId="3" applyFont="1" applyFill="1" applyBorder="1"/>
    <xf numFmtId="0" fontId="1" fillId="3" borderId="17" xfId="3" applyFont="1" applyFill="1" applyBorder="1"/>
    <xf numFmtId="0" fontId="1" fillId="0" borderId="17" xfId="3" applyFont="1" applyBorder="1"/>
    <xf numFmtId="0" fontId="19" fillId="0" borderId="17" xfId="3" applyFont="1" applyBorder="1"/>
    <xf numFmtId="0" fontId="20" fillId="0" borderId="17" xfId="3" applyFont="1" applyBorder="1"/>
    <xf numFmtId="41" fontId="1" fillId="0" borderId="17" xfId="4" applyFont="1" applyBorder="1"/>
    <xf numFmtId="0" fontId="20" fillId="0" borderId="17" xfId="3" applyFont="1" applyBorder="1" applyAlignment="1">
      <alignment horizontal="left"/>
    </xf>
    <xf numFmtId="0" fontId="20" fillId="0" borderId="17" xfId="3" quotePrefix="1" applyFont="1" applyBorder="1"/>
    <xf numFmtId="0" fontId="10" fillId="5" borderId="17" xfId="3" applyFont="1" applyFill="1" applyBorder="1"/>
    <xf numFmtId="41" fontId="10" fillId="5" borderId="17" xfId="4" applyFont="1" applyFill="1" applyBorder="1"/>
    <xf numFmtId="0" fontId="20" fillId="0" borderId="0" xfId="3" applyFont="1"/>
    <xf numFmtId="0" fontId="20" fillId="0" borderId="8" xfId="3" applyFont="1" applyBorder="1"/>
    <xf numFmtId="0" fontId="20" fillId="0" borderId="9" xfId="3" applyFont="1" applyBorder="1"/>
    <xf numFmtId="0" fontId="1" fillId="0" borderId="14" xfId="3" applyFont="1" applyBorder="1"/>
    <xf numFmtId="0" fontId="1" fillId="0" borderId="15" xfId="3" applyFont="1" applyBorder="1"/>
    <xf numFmtId="0" fontId="16" fillId="5" borderId="10" xfId="3" applyFont="1" applyFill="1" applyBorder="1" applyAlignment="1">
      <alignment horizontal="center" vertical="center" wrapText="1"/>
    </xf>
    <xf numFmtId="0" fontId="16" fillId="5" borderId="16" xfId="3" applyFont="1" applyFill="1" applyBorder="1" applyAlignment="1">
      <alignment horizontal="center" vertical="center" wrapText="1"/>
    </xf>
    <xf numFmtId="0" fontId="20" fillId="0" borderId="14" xfId="3" applyFont="1" applyBorder="1" applyAlignment="1">
      <alignment horizontal="center" vertical="top"/>
    </xf>
    <xf numFmtId="0" fontId="20" fillId="0" borderId="15" xfId="3" applyFont="1" applyBorder="1" applyAlignment="1">
      <alignment vertical="top"/>
    </xf>
    <xf numFmtId="0" fontId="19" fillId="0" borderId="16" xfId="3" applyFont="1" applyBorder="1"/>
    <xf numFmtId="0" fontId="19" fillId="0" borderId="16" xfId="3" applyFont="1" applyBorder="1" applyAlignment="1">
      <alignment horizontal="center" vertical="center"/>
    </xf>
    <xf numFmtId="0" fontId="17" fillId="3" borderId="16" xfId="3" applyFont="1" applyFill="1" applyBorder="1"/>
    <xf numFmtId="0" fontId="16" fillId="3" borderId="16" xfId="3" applyFont="1" applyFill="1" applyBorder="1"/>
    <xf numFmtId="0" fontId="20" fillId="0" borderId="17" xfId="3" applyFont="1" applyBorder="1" applyAlignment="1">
      <alignment horizontal="center"/>
    </xf>
    <xf numFmtId="0" fontId="20" fillId="0" borderId="17" xfId="3" applyFont="1" applyBorder="1" applyAlignment="1">
      <alignment wrapText="1" shrinkToFit="1"/>
    </xf>
    <xf numFmtId="0" fontId="20" fillId="3" borderId="17" xfId="3" applyFont="1" applyFill="1" applyBorder="1"/>
    <xf numFmtId="0" fontId="19" fillId="3" borderId="17" xfId="3" applyFont="1" applyFill="1" applyBorder="1"/>
    <xf numFmtId="41" fontId="1" fillId="3" borderId="17" xfId="4" applyFont="1" applyFill="1" applyBorder="1"/>
    <xf numFmtId="0" fontId="16" fillId="4" borderId="17" xfId="3" applyFont="1" applyFill="1" applyBorder="1"/>
    <xf numFmtId="0" fontId="16" fillId="5" borderId="17" xfId="3" applyFont="1" applyFill="1" applyBorder="1"/>
    <xf numFmtId="0" fontId="1" fillId="0" borderId="1" xfId="3" applyFont="1" applyBorder="1"/>
    <xf numFmtId="0" fontId="20" fillId="0" borderId="1" xfId="3" applyFont="1" applyBorder="1"/>
    <xf numFmtId="0" fontId="1" fillId="0" borderId="1" xfId="3" applyFont="1" applyBorder="1" applyAlignment="1">
      <alignment horizontal="center"/>
    </xf>
    <xf numFmtId="0" fontId="20" fillId="0" borderId="1" xfId="3" quotePrefix="1" applyFont="1" applyBorder="1" applyAlignment="1">
      <alignment horizontal="center"/>
    </xf>
    <xf numFmtId="0" fontId="20" fillId="0" borderId="1" xfId="3" applyFont="1" applyBorder="1" applyAlignment="1">
      <alignment horizontal="center"/>
    </xf>
    <xf numFmtId="0" fontId="14" fillId="0" borderId="0" xfId="3" applyFont="1"/>
    <xf numFmtId="0" fontId="15" fillId="0" borderId="0" xfId="3" applyFont="1"/>
    <xf numFmtId="0" fontId="2" fillId="0" borderId="0" xfId="5" applyFont="1"/>
    <xf numFmtId="0" fontId="2" fillId="0" borderId="1" xfId="5" applyFont="1" applyBorder="1" applyAlignment="1">
      <alignment horizontal="center"/>
    </xf>
    <xf numFmtId="0" fontId="2" fillId="0" borderId="1" xfId="5" applyFont="1" applyBorder="1" applyAlignment="1">
      <alignment horizontal="left"/>
    </xf>
    <xf numFmtId="165" fontId="2" fillId="0" borderId="1" xfId="6" applyNumberFormat="1" applyFont="1" applyBorder="1"/>
    <xf numFmtId="165" fontId="3" fillId="0" borderId="0" xfId="6" applyNumberFormat="1" applyFont="1" applyBorder="1"/>
    <xf numFmtId="165" fontId="3" fillId="2" borderId="0" xfId="5" applyNumberFormat="1" applyFont="1" applyFill="1"/>
    <xf numFmtId="0" fontId="3" fillId="0" borderId="0" xfId="5" applyFont="1" applyAlignment="1">
      <alignment horizontal="center"/>
    </xf>
    <xf numFmtId="0" fontId="2" fillId="3" borderId="1" xfId="5" applyFont="1" applyFill="1" applyBorder="1"/>
    <xf numFmtId="165" fontId="5" fillId="4" borderId="1" xfId="5" applyNumberFormat="1" applyFont="1" applyFill="1" applyBorder="1"/>
    <xf numFmtId="0" fontId="2" fillId="4" borderId="0" xfId="5" applyFont="1" applyFill="1" applyAlignment="1">
      <alignment horizontal="right"/>
    </xf>
    <xf numFmtId="165" fontId="3" fillId="4" borderId="0" xfId="5" applyNumberFormat="1" applyFont="1" applyFill="1" applyAlignment="1">
      <alignment horizontal="center"/>
    </xf>
    <xf numFmtId="0" fontId="2" fillId="0" borderId="0" xfId="5" applyFont="1" applyAlignment="1">
      <alignment horizontal="right"/>
    </xf>
    <xf numFmtId="0" fontId="2" fillId="7" borderId="1" xfId="5" applyFont="1" applyFill="1" applyBorder="1" applyAlignment="1">
      <alignment horizontal="center"/>
    </xf>
    <xf numFmtId="41" fontId="11" fillId="0" borderId="17" xfId="4" applyFont="1" applyBorder="1"/>
    <xf numFmtId="41" fontId="11" fillId="7" borderId="17" xfId="4" applyFont="1" applyFill="1" applyBorder="1"/>
    <xf numFmtId="0" fontId="17" fillId="8" borderId="16" xfId="3" applyFont="1" applyFill="1" applyBorder="1"/>
    <xf numFmtId="0" fontId="16" fillId="8" borderId="17" xfId="3" applyFont="1" applyFill="1" applyBorder="1" applyAlignment="1">
      <alignment horizontal="center"/>
    </xf>
    <xf numFmtId="0" fontId="16" fillId="8" borderId="16" xfId="3" applyFont="1" applyFill="1" applyBorder="1" applyAlignment="1">
      <alignment horizontal="center" vertical="center" wrapText="1"/>
    </xf>
    <xf numFmtId="41" fontId="1" fillId="8" borderId="17" xfId="4" applyFont="1" applyFill="1" applyBorder="1"/>
    <xf numFmtId="0" fontId="16" fillId="8" borderId="9" xfId="3" applyFont="1" applyFill="1" applyBorder="1" applyAlignment="1">
      <alignment horizontal="center" vertical="top"/>
    </xf>
    <xf numFmtId="0" fontId="16" fillId="8" borderId="10" xfId="3" applyFont="1" applyFill="1" applyBorder="1" applyAlignment="1">
      <alignment horizontal="center" vertical="center"/>
    </xf>
    <xf numFmtId="0" fontId="1" fillId="0" borderId="17" xfId="3" applyFont="1" applyBorder="1" applyAlignment="1">
      <alignment horizontal="center"/>
    </xf>
    <xf numFmtId="0" fontId="17" fillId="8" borderId="15" xfId="3" applyFont="1" applyFill="1" applyBorder="1" applyAlignment="1">
      <alignment horizontal="center" vertical="top"/>
    </xf>
    <xf numFmtId="0" fontId="16" fillId="9" borderId="17" xfId="3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21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5" applyFont="1" applyFill="1" applyAlignment="1">
      <alignment horizontal="right"/>
    </xf>
    <xf numFmtId="0" fontId="3" fillId="0" borderId="2" xfId="5" applyFont="1" applyBorder="1" applyAlignment="1">
      <alignment horizontal="center"/>
    </xf>
    <xf numFmtId="0" fontId="2" fillId="0" borderId="1" xfId="5" applyFont="1" applyBorder="1" applyAlignment="1">
      <alignment horizontal="center" vertical="center"/>
    </xf>
    <xf numFmtId="0" fontId="2" fillId="0" borderId="1" xfId="5" applyFont="1" applyBorder="1" applyAlignment="1">
      <alignment horizont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4" xfId="5" applyFont="1" applyBorder="1" applyAlignment="1">
      <alignment horizontal="center"/>
    </xf>
    <xf numFmtId="0" fontId="2" fillId="0" borderId="5" xfId="5" applyFont="1" applyBorder="1" applyAlignment="1">
      <alignment horizontal="center"/>
    </xf>
    <xf numFmtId="0" fontId="8" fillId="0" borderId="1" xfId="5" applyFont="1" applyBorder="1" applyAlignment="1">
      <alignment horizontal="center" vertical="center" wrapText="1"/>
    </xf>
    <xf numFmtId="0" fontId="2" fillId="0" borderId="3" xfId="5" applyFont="1" applyBorder="1" applyAlignment="1">
      <alignment horizontal="right"/>
    </xf>
    <xf numFmtId="0" fontId="9" fillId="0" borderId="4" xfId="5" applyFont="1" applyBorder="1" applyAlignment="1">
      <alignment horizontal="center"/>
    </xf>
    <xf numFmtId="0" fontId="9" fillId="0" borderId="5" xfId="5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5" fillId="0" borderId="0" xfId="3" applyFont="1" applyAlignment="1">
      <alignment horizontal="center"/>
    </xf>
    <xf numFmtId="0" fontId="16" fillId="5" borderId="11" xfId="3" applyFont="1" applyFill="1" applyBorder="1" applyAlignment="1">
      <alignment horizontal="center" vertical="center"/>
    </xf>
    <xf numFmtId="0" fontId="16" fillId="5" borderId="12" xfId="3" applyFont="1" applyFill="1" applyBorder="1" applyAlignment="1">
      <alignment horizontal="center" vertical="center"/>
    </xf>
    <xf numFmtId="0" fontId="16" fillId="5" borderId="13" xfId="3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right"/>
    </xf>
    <xf numFmtId="0" fontId="2" fillId="2" borderId="0" xfId="1" applyFont="1" applyFill="1" applyAlignment="1">
      <alignment horizontal="right"/>
    </xf>
    <xf numFmtId="0" fontId="3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16" fillId="5" borderId="10" xfId="3" applyFont="1" applyFill="1" applyBorder="1" applyAlignment="1">
      <alignment horizontal="center" vertical="center"/>
    </xf>
    <xf numFmtId="0" fontId="16" fillId="5" borderId="16" xfId="3" applyFont="1" applyFill="1" applyBorder="1" applyAlignment="1">
      <alignment horizontal="center" vertical="center"/>
    </xf>
    <xf numFmtId="0" fontId="16" fillId="9" borderId="9" xfId="3" applyFont="1" applyFill="1" applyBorder="1" applyAlignment="1">
      <alignment horizontal="center" vertical="center"/>
    </xf>
    <xf numFmtId="0" fontId="16" fillId="9" borderId="15" xfId="3" applyFont="1" applyFill="1" applyBorder="1" applyAlignment="1">
      <alignment horizontal="center" vertical="center"/>
    </xf>
    <xf numFmtId="0" fontId="16" fillId="5" borderId="11" xfId="3" applyFont="1" applyFill="1" applyBorder="1" applyAlignment="1">
      <alignment horizontal="center"/>
    </xf>
    <xf numFmtId="0" fontId="16" fillId="5" borderId="12" xfId="3" applyFont="1" applyFill="1" applyBorder="1" applyAlignment="1">
      <alignment horizontal="center"/>
    </xf>
    <xf numFmtId="0" fontId="16" fillId="5" borderId="13" xfId="3" applyFont="1" applyFill="1" applyBorder="1" applyAlignment="1">
      <alignment horizontal="center"/>
    </xf>
    <xf numFmtId="0" fontId="16" fillId="9" borderId="11" xfId="3" applyFont="1" applyFill="1" applyBorder="1" applyAlignment="1">
      <alignment horizontal="center" vertical="center"/>
    </xf>
    <xf numFmtId="0" fontId="16" fillId="9" borderId="12" xfId="3" applyFont="1" applyFill="1" applyBorder="1" applyAlignment="1">
      <alignment horizontal="center" vertical="center"/>
    </xf>
    <xf numFmtId="0" fontId="16" fillId="9" borderId="10" xfId="3" applyFont="1" applyFill="1" applyBorder="1" applyAlignment="1">
      <alignment horizontal="center" vertical="center" wrapText="1"/>
    </xf>
    <xf numFmtId="0" fontId="16" fillId="9" borderId="16" xfId="3" applyFont="1" applyFill="1" applyBorder="1" applyAlignment="1">
      <alignment horizontal="center" vertical="center" wrapText="1"/>
    </xf>
    <xf numFmtId="0" fontId="16" fillId="8" borderId="11" xfId="3" applyFont="1" applyFill="1" applyBorder="1" applyAlignment="1">
      <alignment horizontal="center" vertical="center"/>
    </xf>
    <xf numFmtId="0" fontId="16" fillId="8" borderId="12" xfId="3" applyFont="1" applyFill="1" applyBorder="1" applyAlignment="1">
      <alignment horizontal="center" vertical="center"/>
    </xf>
    <xf numFmtId="0" fontId="16" fillId="9" borderId="10" xfId="3" applyFont="1" applyFill="1" applyBorder="1" applyAlignment="1">
      <alignment horizontal="center" vertical="center"/>
    </xf>
    <xf numFmtId="0" fontId="16" fillId="9" borderId="16" xfId="3" applyFont="1" applyFill="1" applyBorder="1" applyAlignment="1">
      <alignment horizontal="center" vertical="center"/>
    </xf>
    <xf numFmtId="0" fontId="16" fillId="5" borderId="10" xfId="3" applyFont="1" applyFill="1" applyBorder="1" applyAlignment="1">
      <alignment horizontal="center" vertical="center" wrapText="1"/>
    </xf>
    <xf numFmtId="0" fontId="16" fillId="5" borderId="16" xfId="3" applyFont="1" applyFill="1" applyBorder="1" applyAlignment="1">
      <alignment horizontal="center" vertical="center" wrapText="1"/>
    </xf>
  </cellXfs>
  <cellStyles count="7">
    <cellStyle name="Comma [0] 2" xfId="4" xr:uid="{82713731-8025-4ED3-979D-9B75DA69F0A3}"/>
    <cellStyle name="Comma 2" xfId="2" xr:uid="{5C70DF96-65EB-4A56-A855-BAAB35925CDE}"/>
    <cellStyle name="Comma 3" xfId="6" xr:uid="{88FA8FF9-9064-4EED-8042-DB19F99DC3F3}"/>
    <cellStyle name="Normal" xfId="0" builtinId="0"/>
    <cellStyle name="Normal 2" xfId="1" xr:uid="{AA5A89BC-8EBB-44B3-B9DB-CA197D9A0D9C}"/>
    <cellStyle name="Normal 3" xfId="3" xr:uid="{2F10E7F9-894C-4D6D-9C9A-60B3D13FFD3C}"/>
    <cellStyle name="Normal 3 2" xfId="5" xr:uid="{319154C2-6E85-4CAB-9017-3B64C1A54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KAT%20GASAL%202023-2024/RKAT%20GASAL_BAUK%20STAI%202023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KAT%20GENAP%202023-2024/STAI_Potensi%20Pemasukan%20Genap_2708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RKAT%20GENAP%202023-2024/RKAT%20GENAP_BAUK%20STAI%202023-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0HERI-%20AKUTANSI/Pak%20Heri_27082023/RKAT%20GENAP%202023-2024/RKAT%20GENAP_BAUK%20STAI%202023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3)"/>
      <sheetName val="MHSW"/>
      <sheetName val="POTENSI"/>
      <sheetName val="Estimasi Penerimaan"/>
      <sheetName val="Rencana Alokasi Anggaran"/>
      <sheetName val="Rekapitulasi"/>
      <sheetName val="Rekapitulasi Gsl&amp;Genap"/>
      <sheetName val="Sheet2"/>
      <sheetName val="Sheet6"/>
    </sheetNames>
    <sheetDataSet>
      <sheetData sheetId="0"/>
      <sheetData sheetId="1"/>
      <sheetData sheetId="2">
        <row r="7">
          <cell r="D7">
            <v>49</v>
          </cell>
        </row>
        <row r="8">
          <cell r="D8">
            <v>55</v>
          </cell>
        </row>
        <row r="9">
          <cell r="D9">
            <v>17</v>
          </cell>
        </row>
      </sheetData>
      <sheetData sheetId="3">
        <row r="76">
          <cell r="H76">
            <v>78650000</v>
          </cell>
        </row>
      </sheetData>
      <sheetData sheetId="4">
        <row r="29">
          <cell r="D29">
            <v>522600000</v>
          </cell>
          <cell r="E29">
            <v>322000000</v>
          </cell>
          <cell r="F29">
            <v>322000000</v>
          </cell>
          <cell r="G29">
            <v>322000000</v>
          </cell>
          <cell r="H29">
            <v>322000000</v>
          </cell>
          <cell r="I29">
            <v>322000000</v>
          </cell>
          <cell r="J29">
            <v>0</v>
          </cell>
        </row>
      </sheetData>
      <sheetData sheetId="5">
        <row r="111">
          <cell r="E111">
            <v>4576850000</v>
          </cell>
          <cell r="F111">
            <v>4</v>
          </cell>
          <cell r="G111">
            <v>5</v>
          </cell>
          <cell r="H111">
            <v>6</v>
          </cell>
          <cell r="I111">
            <v>7</v>
          </cell>
          <cell r="J111">
            <v>8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SW"/>
      <sheetName val="POTENSI"/>
    </sheetNames>
    <sheetDataSet>
      <sheetData sheetId="0">
        <row r="7">
          <cell r="D7">
            <v>49</v>
          </cell>
          <cell r="E7">
            <v>33</v>
          </cell>
          <cell r="F7">
            <v>27</v>
          </cell>
          <cell r="G7">
            <v>41</v>
          </cell>
        </row>
        <row r="8">
          <cell r="D8">
            <v>55</v>
          </cell>
          <cell r="E8">
            <v>57</v>
          </cell>
          <cell r="F8">
            <v>79</v>
          </cell>
          <cell r="G8">
            <v>53</v>
          </cell>
        </row>
        <row r="9">
          <cell r="D9">
            <v>17</v>
          </cell>
          <cell r="E9">
            <v>20</v>
          </cell>
          <cell r="F9">
            <v>31</v>
          </cell>
          <cell r="G9">
            <v>21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3)"/>
      <sheetName val="MHSW"/>
      <sheetName val="POTENSI"/>
      <sheetName val="Estimasi Penerimaan"/>
      <sheetName val="Rencana Alokasi Anggaran"/>
      <sheetName val="Rekapitulasi"/>
      <sheetName val="Sheet2"/>
      <sheetName val="Sheet6"/>
    </sheetNames>
    <sheetDataSet>
      <sheetData sheetId="0" refreshError="1"/>
      <sheetData sheetId="1" refreshError="1"/>
      <sheetData sheetId="2">
        <row r="7">
          <cell r="D7">
            <v>49</v>
          </cell>
          <cell r="E7">
            <v>34</v>
          </cell>
        </row>
        <row r="8">
          <cell r="D8">
            <v>55</v>
          </cell>
          <cell r="E8">
            <v>60</v>
          </cell>
        </row>
        <row r="9">
          <cell r="D9">
            <v>17</v>
          </cell>
          <cell r="E9">
            <v>20</v>
          </cell>
        </row>
      </sheetData>
      <sheetData sheetId="3">
        <row r="13">
          <cell r="H13">
            <v>144900000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3)"/>
      <sheetName val="MHSW"/>
      <sheetName val="POTENSI"/>
      <sheetName val="Estimasi Penerimaan"/>
      <sheetName val="Rencana Alokasi Anggaran"/>
      <sheetName val="Rekapitulasi"/>
      <sheetName val="Sheet2"/>
      <sheetName val="Sheet6"/>
    </sheetNames>
    <sheetDataSet>
      <sheetData sheetId="0" refreshError="1"/>
      <sheetData sheetId="1" refreshError="1"/>
      <sheetData sheetId="2" refreshError="1"/>
      <sheetData sheetId="3">
        <row r="65">
          <cell r="H65">
            <v>193600000</v>
          </cell>
        </row>
        <row r="75">
          <cell r="H75">
            <v>90750000</v>
          </cell>
        </row>
        <row r="85">
          <cell r="H85">
            <v>72600000</v>
          </cell>
        </row>
        <row r="95">
          <cell r="H95">
            <v>157300000</v>
          </cell>
        </row>
        <row r="105">
          <cell r="H105">
            <v>30250000</v>
          </cell>
        </row>
        <row r="115">
          <cell r="H115">
            <v>121000000</v>
          </cell>
        </row>
        <row r="125">
          <cell r="H125">
            <v>484000000</v>
          </cell>
        </row>
      </sheetData>
      <sheetData sheetId="4" refreshError="1"/>
      <sheetData sheetId="5" refreshError="1"/>
      <sheetData sheetId="6">
        <row r="11">
          <cell r="J11">
            <v>3035000000.0000005</v>
          </cell>
        </row>
        <row r="13">
          <cell r="J13">
            <v>5700059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opLeftCell="A4" zoomScaleNormal="100" workbookViewId="0">
      <selection activeCell="C26" sqref="C26:C28"/>
    </sheetView>
  </sheetViews>
  <sheetFormatPr defaultColWidth="9.21875" defaultRowHeight="13.8" x14ac:dyDescent="0.25"/>
  <cols>
    <col min="1" max="1" width="5.77734375" style="1" customWidth="1"/>
    <col min="2" max="2" width="19.21875" style="1" bestFit="1" customWidth="1"/>
    <col min="3" max="3" width="7.77734375" style="1" customWidth="1"/>
    <col min="4" max="7" width="5.5546875" style="1" bestFit="1" customWidth="1"/>
    <col min="8" max="8" width="6.44140625" style="1" bestFit="1" customWidth="1"/>
    <col min="9" max="9" width="7.21875" style="1" customWidth="1"/>
    <col min="10" max="10" width="8" style="1" customWidth="1"/>
    <col min="11" max="11" width="7.77734375" style="1" bestFit="1" customWidth="1"/>
    <col min="12" max="12" width="8" style="1" customWidth="1"/>
    <col min="13" max="16384" width="9.21875" style="1"/>
  </cols>
  <sheetData>
    <row r="1" spans="1:20" ht="20.399999999999999" x14ac:dyDescent="0.35">
      <c r="I1" s="108" t="s">
        <v>205</v>
      </c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</row>
    <row r="2" spans="1:20" ht="17.399999999999999" x14ac:dyDescent="0.3">
      <c r="I2" s="109" t="s">
        <v>45</v>
      </c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</row>
    <row r="3" spans="1:20" ht="17.399999999999999" x14ac:dyDescent="0.3">
      <c r="I3" s="109" t="s">
        <v>46</v>
      </c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</row>
    <row r="5" spans="1:20" x14ac:dyDescent="0.25">
      <c r="A5" s="112" t="s">
        <v>3</v>
      </c>
      <c r="B5" s="112"/>
      <c r="C5" s="112"/>
      <c r="D5" s="112"/>
      <c r="E5" s="112"/>
      <c r="F5" s="112"/>
      <c r="G5" s="112"/>
      <c r="H5" s="112"/>
    </row>
    <row r="6" spans="1:20" x14ac:dyDescent="0.25">
      <c r="A6" s="112" t="s">
        <v>11</v>
      </c>
      <c r="B6" s="112"/>
      <c r="C6" s="112"/>
      <c r="D6" s="112"/>
      <c r="E6" s="112"/>
      <c r="F6" s="112"/>
      <c r="G6" s="112"/>
      <c r="H6" s="112"/>
    </row>
    <row r="7" spans="1:20" x14ac:dyDescent="0.25">
      <c r="A7" s="113" t="s">
        <v>12</v>
      </c>
      <c r="B7" s="113"/>
      <c r="C7" s="113"/>
      <c r="D7" s="113"/>
      <c r="E7" s="113"/>
      <c r="F7" s="113"/>
      <c r="G7" s="113"/>
      <c r="H7" s="113"/>
    </row>
    <row r="9" spans="1:20" ht="15" customHeight="1" x14ac:dyDescent="0.25">
      <c r="A9" s="110" t="s">
        <v>1</v>
      </c>
      <c r="B9" s="110" t="s">
        <v>0</v>
      </c>
      <c r="C9" s="114" t="s">
        <v>16</v>
      </c>
      <c r="D9" s="114"/>
      <c r="E9" s="114"/>
      <c r="F9" s="114"/>
      <c r="G9" s="114"/>
      <c r="H9" s="114" t="s">
        <v>2</v>
      </c>
    </row>
    <row r="10" spans="1:20" x14ac:dyDescent="0.25">
      <c r="A10" s="111"/>
      <c r="B10" s="111"/>
      <c r="C10" s="6">
        <v>2019</v>
      </c>
      <c r="D10" s="6">
        <v>2020</v>
      </c>
      <c r="E10" s="6">
        <v>2021</v>
      </c>
      <c r="F10" s="6">
        <v>2022</v>
      </c>
      <c r="G10" s="6">
        <v>2023</v>
      </c>
      <c r="H10" s="114"/>
    </row>
    <row r="11" spans="1:20" x14ac:dyDescent="0.25">
      <c r="A11" s="2">
        <v>1</v>
      </c>
      <c r="B11" s="7" t="s">
        <v>13</v>
      </c>
      <c r="C11" s="2">
        <v>35</v>
      </c>
      <c r="D11" s="2">
        <f>53</f>
        <v>53</v>
      </c>
      <c r="E11" s="2">
        <f>32</f>
        <v>32</v>
      </c>
      <c r="F11" s="2">
        <f>28</f>
        <v>28</v>
      </c>
      <c r="G11" s="2">
        <f>44+1</f>
        <v>45</v>
      </c>
      <c r="H11" s="3">
        <f>SUM(C11:G11)</f>
        <v>193</v>
      </c>
    </row>
    <row r="12" spans="1:20" x14ac:dyDescent="0.25">
      <c r="A12" s="2">
        <v>2</v>
      </c>
      <c r="B12" s="7" t="s">
        <v>14</v>
      </c>
      <c r="C12" s="2">
        <v>77</v>
      </c>
      <c r="D12" s="2">
        <f>58</f>
        <v>58</v>
      </c>
      <c r="E12" s="2">
        <f>69</f>
        <v>69</v>
      </c>
      <c r="F12" s="2">
        <f>36+43+3</f>
        <v>82</v>
      </c>
      <c r="G12" s="2">
        <f>52+1</f>
        <v>53</v>
      </c>
      <c r="H12" s="3">
        <f t="shared" ref="H12:H14" si="0">SUM(C12:G12)</f>
        <v>339</v>
      </c>
    </row>
    <row r="13" spans="1:20" x14ac:dyDescent="0.25">
      <c r="A13" s="2">
        <v>3</v>
      </c>
      <c r="B13" s="7" t="s">
        <v>15</v>
      </c>
      <c r="C13" s="2">
        <v>31</v>
      </c>
      <c r="D13" s="2">
        <f>18</f>
        <v>18</v>
      </c>
      <c r="E13" s="2">
        <f>22</f>
        <v>22</v>
      </c>
      <c r="F13" s="2">
        <f>30</f>
        <v>30</v>
      </c>
      <c r="G13" s="2">
        <f>22+3</f>
        <v>25</v>
      </c>
      <c r="H13" s="3">
        <f t="shared" si="0"/>
        <v>126</v>
      </c>
    </row>
    <row r="14" spans="1:20" x14ac:dyDescent="0.25">
      <c r="A14" s="2">
        <v>4</v>
      </c>
      <c r="B14" s="2"/>
      <c r="C14" s="2"/>
      <c r="D14" s="2"/>
      <c r="E14" s="2"/>
      <c r="F14" s="2"/>
      <c r="G14" s="2"/>
      <c r="H14" s="3">
        <f t="shared" si="0"/>
        <v>0</v>
      </c>
    </row>
    <row r="15" spans="1:20" x14ac:dyDescent="0.25">
      <c r="A15" s="2">
        <v>5</v>
      </c>
      <c r="B15" s="2"/>
      <c r="C15" s="2"/>
      <c r="D15" s="2"/>
      <c r="E15" s="2"/>
      <c r="F15" s="2"/>
      <c r="G15" s="2"/>
      <c r="H15" s="3">
        <f>SUM(C15:G15)</f>
        <v>0</v>
      </c>
    </row>
    <row r="16" spans="1:20" x14ac:dyDescent="0.25">
      <c r="A16" s="2">
        <v>6</v>
      </c>
      <c r="B16" s="2"/>
      <c r="C16" s="2"/>
      <c r="D16" s="2"/>
      <c r="E16" s="2"/>
      <c r="F16" s="2"/>
      <c r="G16" s="2"/>
      <c r="H16" s="3">
        <f>SUM(C16:G16)</f>
        <v>0</v>
      </c>
    </row>
    <row r="17" spans="1:8" x14ac:dyDescent="0.25">
      <c r="A17" s="4"/>
      <c r="B17" s="4"/>
      <c r="C17" s="2">
        <f t="shared" ref="C17:H17" si="1">SUM(C11:C16)</f>
        <v>143</v>
      </c>
      <c r="D17" s="2">
        <f t="shared" si="1"/>
        <v>129</v>
      </c>
      <c r="E17" s="2">
        <f t="shared" si="1"/>
        <v>123</v>
      </c>
      <c r="F17" s="2">
        <f t="shared" si="1"/>
        <v>140</v>
      </c>
      <c r="G17" s="2">
        <f t="shared" si="1"/>
        <v>123</v>
      </c>
      <c r="H17" s="5">
        <f t="shared" si="1"/>
        <v>658</v>
      </c>
    </row>
    <row r="20" spans="1:8" x14ac:dyDescent="0.25">
      <c r="A20" s="103" t="s">
        <v>3</v>
      </c>
      <c r="B20" s="103"/>
      <c r="C20" s="103"/>
      <c r="D20" s="103"/>
      <c r="E20" s="103"/>
      <c r="F20" s="103"/>
      <c r="G20" s="103"/>
      <c r="H20" s="103"/>
    </row>
    <row r="21" spans="1:8" x14ac:dyDescent="0.25">
      <c r="A21" s="103" t="s">
        <v>11</v>
      </c>
      <c r="B21" s="103"/>
      <c r="C21" s="103"/>
      <c r="D21" s="103"/>
      <c r="E21" s="103"/>
      <c r="F21" s="103"/>
      <c r="G21" s="103"/>
      <c r="H21" s="103"/>
    </row>
    <row r="22" spans="1:8" x14ac:dyDescent="0.25">
      <c r="A22" s="107" t="s">
        <v>28</v>
      </c>
      <c r="B22" s="107"/>
      <c r="C22" s="107"/>
      <c r="D22" s="107"/>
      <c r="E22" s="107"/>
      <c r="F22" s="107"/>
      <c r="G22" s="107"/>
      <c r="H22" s="107"/>
    </row>
    <row r="23" spans="1:8" x14ac:dyDescent="0.25">
      <c r="A23" s="9"/>
      <c r="B23" s="9"/>
      <c r="C23" s="9"/>
      <c r="D23" s="9"/>
      <c r="E23" s="9"/>
      <c r="F23" s="9"/>
      <c r="G23" s="9"/>
      <c r="H23" s="9"/>
    </row>
    <row r="24" spans="1:8" x14ac:dyDescent="0.25">
      <c r="A24" s="104" t="s">
        <v>1</v>
      </c>
      <c r="B24" s="104" t="s">
        <v>0</v>
      </c>
      <c r="C24" s="106" t="s">
        <v>16</v>
      </c>
      <c r="D24" s="106"/>
      <c r="E24" s="106"/>
      <c r="F24" s="106"/>
      <c r="G24" s="106"/>
      <c r="H24" s="106" t="s">
        <v>2</v>
      </c>
    </row>
    <row r="25" spans="1:8" x14ac:dyDescent="0.25">
      <c r="A25" s="105"/>
      <c r="B25" s="105"/>
      <c r="C25" s="10">
        <v>2019</v>
      </c>
      <c r="D25" s="10">
        <v>2020</v>
      </c>
      <c r="E25" s="10">
        <v>2021</v>
      </c>
      <c r="F25" s="10">
        <v>2022</v>
      </c>
      <c r="G25" s="10">
        <v>2023</v>
      </c>
      <c r="H25" s="106"/>
    </row>
    <row r="26" spans="1:8" x14ac:dyDescent="0.25">
      <c r="A26" s="11">
        <v>1</v>
      </c>
      <c r="B26" s="12" t="s">
        <v>13</v>
      </c>
      <c r="C26" s="11">
        <v>35</v>
      </c>
      <c r="D26" s="2">
        <f>53</f>
        <v>53</v>
      </c>
      <c r="E26" s="2">
        <f>32</f>
        <v>32</v>
      </c>
      <c r="F26" s="2">
        <f>28</f>
        <v>28</v>
      </c>
      <c r="G26" s="2">
        <f>44+1</f>
        <v>45</v>
      </c>
      <c r="H26" s="13">
        <f>SUM(C26:G26)</f>
        <v>193</v>
      </c>
    </row>
    <row r="27" spans="1:8" x14ac:dyDescent="0.25">
      <c r="A27" s="11">
        <v>2</v>
      </c>
      <c r="B27" s="12" t="s">
        <v>14</v>
      </c>
      <c r="C27" s="11">
        <v>77</v>
      </c>
      <c r="D27" s="2">
        <f>58</f>
        <v>58</v>
      </c>
      <c r="E27" s="2">
        <f>69</f>
        <v>69</v>
      </c>
      <c r="F27" s="2">
        <f>36+43+3</f>
        <v>82</v>
      </c>
      <c r="G27" s="2">
        <f>52+1</f>
        <v>53</v>
      </c>
      <c r="H27" s="13">
        <f t="shared" ref="H27:H29" si="2">SUM(C27:G27)</f>
        <v>339</v>
      </c>
    </row>
    <row r="28" spans="1:8" x14ac:dyDescent="0.25">
      <c r="A28" s="11">
        <v>3</v>
      </c>
      <c r="B28" s="12" t="s">
        <v>15</v>
      </c>
      <c r="C28" s="11">
        <v>31</v>
      </c>
      <c r="D28" s="2">
        <f>18</f>
        <v>18</v>
      </c>
      <c r="E28" s="2">
        <f>22</f>
        <v>22</v>
      </c>
      <c r="F28" s="2">
        <f>30</f>
        <v>30</v>
      </c>
      <c r="G28" s="2">
        <f>22+3</f>
        <v>25</v>
      </c>
      <c r="H28" s="13">
        <f t="shared" si="2"/>
        <v>126</v>
      </c>
    </row>
    <row r="29" spans="1:8" x14ac:dyDescent="0.25">
      <c r="A29" s="11">
        <v>4</v>
      </c>
      <c r="B29" s="11"/>
      <c r="C29" s="11"/>
      <c r="D29" s="11"/>
      <c r="E29" s="11"/>
      <c r="F29" s="11"/>
      <c r="G29" s="11"/>
      <c r="H29" s="13">
        <f t="shared" si="2"/>
        <v>0</v>
      </c>
    </row>
    <row r="30" spans="1:8" x14ac:dyDescent="0.25">
      <c r="A30" s="11">
        <v>5</v>
      </c>
      <c r="B30" s="11"/>
      <c r="C30" s="11"/>
      <c r="D30" s="11"/>
      <c r="E30" s="11"/>
      <c r="F30" s="11"/>
      <c r="G30" s="11"/>
      <c r="H30" s="13">
        <f>SUM(C30:G30)</f>
        <v>0</v>
      </c>
    </row>
    <row r="31" spans="1:8" x14ac:dyDescent="0.25">
      <c r="A31" s="11">
        <v>6</v>
      </c>
      <c r="B31" s="11"/>
      <c r="C31" s="11"/>
      <c r="D31" s="11"/>
      <c r="E31" s="11"/>
      <c r="F31" s="11"/>
      <c r="G31" s="11"/>
      <c r="H31" s="13">
        <f>SUM(C31:G31)</f>
        <v>0</v>
      </c>
    </row>
    <row r="32" spans="1:8" x14ac:dyDescent="0.25">
      <c r="A32" s="14"/>
      <c r="B32" s="14"/>
      <c r="C32" s="11">
        <f t="shared" ref="C32:H32" si="3">SUM(C26:C31)</f>
        <v>143</v>
      </c>
      <c r="D32" s="11">
        <f t="shared" si="3"/>
        <v>129</v>
      </c>
      <c r="E32" s="11">
        <f t="shared" si="3"/>
        <v>123</v>
      </c>
      <c r="F32" s="11">
        <f t="shared" si="3"/>
        <v>140</v>
      </c>
      <c r="G32" s="11">
        <f t="shared" si="3"/>
        <v>123</v>
      </c>
      <c r="H32" s="15">
        <f t="shared" si="3"/>
        <v>658</v>
      </c>
    </row>
  </sheetData>
  <mergeCells count="17">
    <mergeCell ref="I1:T1"/>
    <mergeCell ref="I2:T2"/>
    <mergeCell ref="I3:T3"/>
    <mergeCell ref="A9:A10"/>
    <mergeCell ref="B9:B10"/>
    <mergeCell ref="A5:H5"/>
    <mergeCell ref="A6:H6"/>
    <mergeCell ref="A7:H7"/>
    <mergeCell ref="H9:H10"/>
    <mergeCell ref="C9:G9"/>
    <mergeCell ref="A20:H20"/>
    <mergeCell ref="A24:A25"/>
    <mergeCell ref="B24:B25"/>
    <mergeCell ref="C24:G24"/>
    <mergeCell ref="H24:H25"/>
    <mergeCell ref="A21:H21"/>
    <mergeCell ref="A22:H22"/>
  </mergeCells>
  <phoneticPr fontId="4" type="noConversion"/>
  <pageMargins left="1.0236220472440944" right="0.78740157480314965" top="0.74803149606299213" bottom="0.74803149606299213" header="0.31496062992125984" footer="0.31496062992125984"/>
  <pageSetup paperSize="9" scale="75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0971-CD24-4ACF-8F5C-90FD846BC0E7}">
  <dimension ref="A1:M85"/>
  <sheetViews>
    <sheetView topLeftCell="A46" zoomScaleNormal="100" workbookViewId="0">
      <selection activeCell="C34" sqref="C34"/>
    </sheetView>
  </sheetViews>
  <sheetFormatPr defaultColWidth="9.21875" defaultRowHeight="13.8" x14ac:dyDescent="0.25"/>
  <cols>
    <col min="1" max="1" width="5.77734375" style="79" customWidth="1"/>
    <col min="2" max="2" width="19.21875" style="79" bestFit="1" customWidth="1"/>
    <col min="3" max="3" width="11.21875" style="79" customWidth="1"/>
    <col min="4" max="4" width="11.77734375" style="79" customWidth="1"/>
    <col min="5" max="5" width="12.77734375" style="79" customWidth="1"/>
    <col min="6" max="6" width="13" style="79" customWidth="1"/>
    <col min="7" max="8" width="20.77734375" style="79" customWidth="1"/>
    <col min="9" max="9" width="3.21875" style="79" customWidth="1"/>
    <col min="10" max="10" width="37" style="79" customWidth="1"/>
    <col min="11" max="16384" width="9.21875" style="79"/>
  </cols>
  <sheetData>
    <row r="1" spans="1:8" x14ac:dyDescent="0.25">
      <c r="A1" s="103" t="s">
        <v>5</v>
      </c>
      <c r="B1" s="103"/>
      <c r="C1" s="103"/>
      <c r="D1" s="103"/>
      <c r="E1" s="103"/>
      <c r="F1" s="103"/>
      <c r="G1" s="103"/>
      <c r="H1" s="103"/>
    </row>
    <row r="2" spans="1:8" x14ac:dyDescent="0.25">
      <c r="A2" s="103" t="s">
        <v>11</v>
      </c>
      <c r="B2" s="103"/>
      <c r="C2" s="103"/>
      <c r="D2" s="103"/>
      <c r="E2" s="103"/>
      <c r="F2" s="103"/>
      <c r="G2" s="103"/>
      <c r="H2" s="103"/>
    </row>
    <row r="3" spans="1:8" x14ac:dyDescent="0.25">
      <c r="A3" s="107" t="s">
        <v>188</v>
      </c>
      <c r="B3" s="107"/>
      <c r="C3" s="107"/>
      <c r="D3" s="107"/>
      <c r="E3" s="107"/>
      <c r="F3" s="107"/>
      <c r="G3" s="107"/>
      <c r="H3" s="10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16" t="s">
        <v>189</v>
      </c>
      <c r="B5" s="116"/>
      <c r="C5" s="116"/>
      <c r="D5" s="116"/>
      <c r="E5" s="116"/>
      <c r="F5" s="116"/>
      <c r="G5" s="116"/>
      <c r="H5" s="116"/>
    </row>
    <row r="6" spans="1:8" x14ac:dyDescent="0.25">
      <c r="A6" s="117" t="s">
        <v>1</v>
      </c>
      <c r="B6" s="117" t="s">
        <v>0</v>
      </c>
      <c r="C6" s="118" t="s">
        <v>17</v>
      </c>
      <c r="D6" s="119" t="s">
        <v>18</v>
      </c>
      <c r="E6" s="120" t="s">
        <v>189</v>
      </c>
      <c r="F6" s="121"/>
      <c r="G6" s="122" t="s">
        <v>8</v>
      </c>
      <c r="H6" s="122" t="s">
        <v>22</v>
      </c>
    </row>
    <row r="7" spans="1:8" x14ac:dyDescent="0.25">
      <c r="A7" s="117"/>
      <c r="B7" s="117"/>
      <c r="C7" s="118"/>
      <c r="D7" s="119"/>
      <c r="E7" s="80" t="s">
        <v>6</v>
      </c>
      <c r="F7" s="80" t="s">
        <v>20</v>
      </c>
      <c r="G7" s="122"/>
      <c r="H7" s="122"/>
    </row>
    <row r="8" spans="1:8" x14ac:dyDescent="0.25">
      <c r="A8" s="80">
        <v>1</v>
      </c>
      <c r="B8" s="81" t="s">
        <v>13</v>
      </c>
      <c r="C8" s="80">
        <f>MHSW!G11</f>
        <v>45</v>
      </c>
      <c r="D8" s="91">
        <f>SUM(MHSW!D11:F11)</f>
        <v>113</v>
      </c>
      <c r="E8" s="82">
        <f>1700000</f>
        <v>1700000</v>
      </c>
      <c r="F8" s="82"/>
      <c r="G8" s="82">
        <f>C8*E8</f>
        <v>76500000</v>
      </c>
      <c r="H8" s="82">
        <f>D8*F8</f>
        <v>0</v>
      </c>
    </row>
    <row r="9" spans="1:8" x14ac:dyDescent="0.25">
      <c r="A9" s="80">
        <v>2</v>
      </c>
      <c r="B9" s="81" t="s">
        <v>14</v>
      </c>
      <c r="C9" s="80">
        <f>MHSW!G12</f>
        <v>53</v>
      </c>
      <c r="D9" s="91">
        <f>SUM(MHSW!D12:F12)</f>
        <v>209</v>
      </c>
      <c r="E9" s="82">
        <f t="shared" ref="E9:E10" si="0">1700000</f>
        <v>1700000</v>
      </c>
      <c r="F9" s="82"/>
      <c r="G9" s="82">
        <f t="shared" ref="G9:H11" si="1">C9*E9</f>
        <v>90100000</v>
      </c>
      <c r="H9" s="82">
        <f t="shared" si="1"/>
        <v>0</v>
      </c>
    </row>
    <row r="10" spans="1:8" x14ac:dyDescent="0.25">
      <c r="A10" s="80">
        <v>3</v>
      </c>
      <c r="B10" s="81" t="s">
        <v>15</v>
      </c>
      <c r="C10" s="80">
        <f>MHSW!G13</f>
        <v>25</v>
      </c>
      <c r="D10" s="91">
        <f>SUM(MHSW!D13:F13)</f>
        <v>70</v>
      </c>
      <c r="E10" s="82">
        <f t="shared" si="0"/>
        <v>1700000</v>
      </c>
      <c r="F10" s="82"/>
      <c r="G10" s="82">
        <f t="shared" si="1"/>
        <v>42500000</v>
      </c>
      <c r="H10" s="82">
        <f t="shared" si="1"/>
        <v>0</v>
      </c>
    </row>
    <row r="11" spans="1:8" x14ac:dyDescent="0.25">
      <c r="A11" s="80">
        <v>4</v>
      </c>
      <c r="B11" s="80"/>
      <c r="C11" s="80"/>
      <c r="D11" s="80"/>
      <c r="E11" s="82"/>
      <c r="F11" s="82"/>
      <c r="G11" s="82">
        <f t="shared" si="1"/>
        <v>0</v>
      </c>
      <c r="H11" s="82">
        <f t="shared" si="1"/>
        <v>0</v>
      </c>
    </row>
    <row r="12" spans="1:8" x14ac:dyDescent="0.25">
      <c r="A12" s="123" t="s">
        <v>21</v>
      </c>
      <c r="B12" s="123"/>
      <c r="C12" s="123"/>
      <c r="D12" s="123"/>
      <c r="E12" s="123"/>
      <c r="F12" s="123"/>
      <c r="G12" s="83">
        <f>SUM(G8:G11)</f>
        <v>209100000</v>
      </c>
      <c r="H12" s="83">
        <f>SUM(H8:H11)</f>
        <v>0</v>
      </c>
    </row>
    <row r="13" spans="1:8" x14ac:dyDescent="0.25">
      <c r="A13" s="115" t="s">
        <v>7</v>
      </c>
      <c r="B13" s="115"/>
      <c r="C13" s="115"/>
      <c r="D13" s="115"/>
      <c r="E13" s="115"/>
      <c r="F13" s="115"/>
      <c r="G13" s="84"/>
      <c r="H13" s="84">
        <f>SUM(G12+H12)</f>
        <v>209100000</v>
      </c>
    </row>
    <row r="14" spans="1:8" x14ac:dyDescent="0.25">
      <c r="A14" s="8"/>
      <c r="B14" s="8"/>
      <c r="C14" s="8"/>
      <c r="D14" s="8"/>
      <c r="E14" s="8"/>
      <c r="F14" s="8"/>
      <c r="G14" s="8"/>
      <c r="H14" s="8"/>
    </row>
    <row r="15" spans="1:8" x14ac:dyDescent="0.25">
      <c r="A15" s="8"/>
      <c r="B15" s="8"/>
      <c r="C15" s="8"/>
      <c r="D15" s="8"/>
      <c r="E15" s="8"/>
      <c r="F15" s="8"/>
      <c r="G15" s="8"/>
      <c r="H15" s="8"/>
    </row>
    <row r="16" spans="1:8" x14ac:dyDescent="0.25">
      <c r="A16" s="116" t="s">
        <v>190</v>
      </c>
      <c r="B16" s="116"/>
      <c r="C16" s="116"/>
      <c r="D16" s="116"/>
      <c r="E16" s="116"/>
      <c r="F16" s="116"/>
      <c r="G16" s="116"/>
      <c r="H16" s="116"/>
    </row>
    <row r="17" spans="1:13" x14ac:dyDescent="0.25">
      <c r="A17" s="117" t="s">
        <v>1</v>
      </c>
      <c r="B17" s="117" t="s">
        <v>0</v>
      </c>
      <c r="C17" s="118" t="s">
        <v>17</v>
      </c>
      <c r="D17" s="119" t="s">
        <v>18</v>
      </c>
      <c r="E17" s="120" t="s">
        <v>190</v>
      </c>
      <c r="F17" s="121"/>
      <c r="G17" s="122" t="s">
        <v>8</v>
      </c>
      <c r="H17" s="122" t="s">
        <v>22</v>
      </c>
    </row>
    <row r="18" spans="1:13" x14ac:dyDescent="0.25">
      <c r="A18" s="117"/>
      <c r="B18" s="117"/>
      <c r="C18" s="118"/>
      <c r="D18" s="119"/>
      <c r="E18" s="80" t="s">
        <v>6</v>
      </c>
      <c r="F18" s="80" t="s">
        <v>20</v>
      </c>
      <c r="G18" s="122"/>
      <c r="H18" s="122"/>
      <c r="J18" s="79" t="s">
        <v>191</v>
      </c>
    </row>
    <row r="19" spans="1:13" x14ac:dyDescent="0.25">
      <c r="A19" s="80">
        <v>1</v>
      </c>
      <c r="B19" s="81" t="s">
        <v>13</v>
      </c>
      <c r="C19" s="80">
        <f>C8</f>
        <v>45</v>
      </c>
      <c r="D19" s="91">
        <f>0</f>
        <v>0</v>
      </c>
      <c r="E19" s="82">
        <f>1500000</f>
        <v>1500000</v>
      </c>
      <c r="F19" s="82"/>
      <c r="G19" s="82">
        <f>C19*E19</f>
        <v>67500000</v>
      </c>
      <c r="H19" s="82">
        <f>D19*F19</f>
        <v>0</v>
      </c>
      <c r="J19" s="79" t="s">
        <v>192</v>
      </c>
    </row>
    <row r="20" spans="1:13" x14ac:dyDescent="0.25">
      <c r="A20" s="80">
        <v>2</v>
      </c>
      <c r="B20" s="81" t="s">
        <v>14</v>
      </c>
      <c r="C20" s="80">
        <f>C9</f>
        <v>53</v>
      </c>
      <c r="D20" s="91">
        <f>0</f>
        <v>0</v>
      </c>
      <c r="E20" s="82">
        <f>2000000</f>
        <v>2000000</v>
      </c>
      <c r="F20" s="82"/>
      <c r="G20" s="82">
        <f t="shared" ref="G20:H22" si="2">C20*E20</f>
        <v>106000000</v>
      </c>
      <c r="H20" s="82">
        <f t="shared" si="2"/>
        <v>0</v>
      </c>
      <c r="J20" s="79" t="s">
        <v>193</v>
      </c>
    </row>
    <row r="21" spans="1:13" ht="13.95" customHeight="1" x14ac:dyDescent="0.25">
      <c r="A21" s="80">
        <v>3</v>
      </c>
      <c r="B21" s="81" t="s">
        <v>15</v>
      </c>
      <c r="C21" s="80">
        <f>C10</f>
        <v>25</v>
      </c>
      <c r="D21" s="91">
        <f>0</f>
        <v>0</v>
      </c>
      <c r="E21" s="82">
        <f>1000000</f>
        <v>1000000</v>
      </c>
      <c r="F21" s="82"/>
      <c r="G21" s="82">
        <f t="shared" si="2"/>
        <v>25000000</v>
      </c>
      <c r="H21" s="82">
        <f t="shared" si="2"/>
        <v>0</v>
      </c>
      <c r="J21" s="79" t="s">
        <v>194</v>
      </c>
    </row>
    <row r="22" spans="1:13" x14ac:dyDescent="0.25">
      <c r="A22" s="80">
        <v>4</v>
      </c>
      <c r="B22" s="80"/>
      <c r="C22" s="80"/>
      <c r="D22" s="80"/>
      <c r="E22" s="82"/>
      <c r="F22" s="82"/>
      <c r="G22" s="82">
        <f t="shared" si="2"/>
        <v>0</v>
      </c>
      <c r="H22" s="82">
        <f t="shared" si="2"/>
        <v>0</v>
      </c>
    </row>
    <row r="23" spans="1:13" x14ac:dyDescent="0.25">
      <c r="A23" s="123" t="s">
        <v>21</v>
      </c>
      <c r="B23" s="123"/>
      <c r="C23" s="123"/>
      <c r="D23" s="123"/>
      <c r="E23" s="123"/>
      <c r="F23" s="123"/>
      <c r="G23" s="83">
        <f>SUM(G19:G22)</f>
        <v>198500000</v>
      </c>
      <c r="H23" s="83">
        <f>SUM(H19:H22)</f>
        <v>0</v>
      </c>
    </row>
    <row r="24" spans="1:13" x14ac:dyDescent="0.25">
      <c r="A24" s="115" t="s">
        <v>7</v>
      </c>
      <c r="B24" s="115"/>
      <c r="C24" s="115"/>
      <c r="D24" s="115"/>
      <c r="E24" s="115"/>
      <c r="F24" s="115"/>
      <c r="G24" s="84"/>
      <c r="H24" s="84">
        <f>SUM(G23+H23)</f>
        <v>198500000</v>
      </c>
    </row>
    <row r="25" spans="1:13" x14ac:dyDescent="0.25">
      <c r="A25" s="115" t="s">
        <v>199</v>
      </c>
      <c r="B25" s="115"/>
      <c r="C25" s="115"/>
      <c r="D25" s="115"/>
      <c r="E25" s="115"/>
      <c r="F25" s="115"/>
      <c r="G25" s="84"/>
      <c r="H25" s="84">
        <f>H24/12</f>
        <v>16541666.666666666</v>
      </c>
    </row>
    <row r="26" spans="1:13" x14ac:dyDescent="0.25">
      <c r="A26" s="8"/>
      <c r="B26" s="8"/>
      <c r="C26" s="8"/>
      <c r="D26" s="8"/>
      <c r="E26" s="8"/>
      <c r="F26" s="8"/>
      <c r="G26" s="8"/>
      <c r="H26" s="8"/>
    </row>
    <row r="27" spans="1:13" x14ac:dyDescent="0.25">
      <c r="A27" s="85"/>
      <c r="B27" s="85"/>
      <c r="C27" s="85"/>
      <c r="D27" s="85"/>
      <c r="E27" s="85"/>
      <c r="F27" s="85"/>
      <c r="G27" s="85"/>
      <c r="H27" s="85"/>
    </row>
    <row r="28" spans="1:13" x14ac:dyDescent="0.25">
      <c r="A28" s="116" t="s">
        <v>24</v>
      </c>
      <c r="B28" s="116"/>
      <c r="C28" s="116"/>
      <c r="D28" s="116"/>
      <c r="E28" s="116"/>
      <c r="F28" s="116"/>
      <c r="G28" s="116"/>
      <c r="H28" s="116"/>
    </row>
    <row r="29" spans="1:13" ht="14.25" customHeight="1" x14ac:dyDescent="0.25">
      <c r="A29" s="117" t="s">
        <v>1</v>
      </c>
      <c r="B29" s="117" t="s">
        <v>0</v>
      </c>
      <c r="C29" s="118" t="s">
        <v>17</v>
      </c>
      <c r="D29" s="119" t="s">
        <v>18</v>
      </c>
      <c r="E29" s="120" t="s">
        <v>19</v>
      </c>
      <c r="F29" s="121"/>
      <c r="G29" s="122" t="s">
        <v>8</v>
      </c>
      <c r="H29" s="122" t="s">
        <v>22</v>
      </c>
      <c r="J29" s="86" t="s">
        <v>10</v>
      </c>
    </row>
    <row r="30" spans="1:13" ht="15" customHeight="1" x14ac:dyDescent="0.25">
      <c r="A30" s="117"/>
      <c r="B30" s="117"/>
      <c r="C30" s="118"/>
      <c r="D30" s="119"/>
      <c r="E30" s="80" t="s">
        <v>6</v>
      </c>
      <c r="F30" s="80" t="s">
        <v>20</v>
      </c>
      <c r="G30" s="122"/>
      <c r="H30" s="122"/>
      <c r="J30" s="87">
        <f>SUM(G36+G47+G58+G69)</f>
        <v>0</v>
      </c>
      <c r="M30" s="79" t="s">
        <v>4</v>
      </c>
    </row>
    <row r="31" spans="1:13" x14ac:dyDescent="0.25">
      <c r="A31" s="80">
        <v>1</v>
      </c>
      <c r="B31" s="81" t="s">
        <v>13</v>
      </c>
      <c r="C31" s="80">
        <f>C19</f>
        <v>45</v>
      </c>
      <c r="D31" s="80">
        <f>D8</f>
        <v>113</v>
      </c>
      <c r="E31" s="82">
        <f>300000*6</f>
        <v>1800000</v>
      </c>
      <c r="F31" s="82">
        <f>300000*6</f>
        <v>1800000</v>
      </c>
      <c r="G31" s="82">
        <f>C31*E31</f>
        <v>81000000</v>
      </c>
      <c r="H31" s="82">
        <f>D31*F31</f>
        <v>203400000</v>
      </c>
    </row>
    <row r="32" spans="1:13" x14ac:dyDescent="0.25">
      <c r="A32" s="80">
        <v>2</v>
      </c>
      <c r="B32" s="81" t="s">
        <v>14</v>
      </c>
      <c r="C32" s="80">
        <f>C20</f>
        <v>53</v>
      </c>
      <c r="D32" s="80">
        <f>D9</f>
        <v>209</v>
      </c>
      <c r="E32" s="82">
        <f>350000*6</f>
        <v>2100000</v>
      </c>
      <c r="F32" s="82">
        <f>350000*6</f>
        <v>2100000</v>
      </c>
      <c r="G32" s="82">
        <f t="shared" ref="G32:H34" si="3">C32*E32</f>
        <v>111300000</v>
      </c>
      <c r="H32" s="82">
        <f t="shared" si="3"/>
        <v>438900000</v>
      </c>
    </row>
    <row r="33" spans="1:12" x14ac:dyDescent="0.25">
      <c r="A33" s="80">
        <v>3</v>
      </c>
      <c r="B33" s="81" t="s">
        <v>15</v>
      </c>
      <c r="C33" s="80">
        <f>C21</f>
        <v>25</v>
      </c>
      <c r="D33" s="80">
        <f>D10</f>
        <v>70</v>
      </c>
      <c r="E33" s="82">
        <f>300000*6</f>
        <v>1800000</v>
      </c>
      <c r="F33" s="82">
        <f>300000*6</f>
        <v>1800000</v>
      </c>
      <c r="G33" s="82">
        <f t="shared" si="3"/>
        <v>45000000</v>
      </c>
      <c r="H33" s="82">
        <f t="shared" si="3"/>
        <v>126000000</v>
      </c>
    </row>
    <row r="34" spans="1:12" x14ac:dyDescent="0.25">
      <c r="A34" s="80">
        <v>4</v>
      </c>
      <c r="B34" s="80"/>
      <c r="C34" s="80"/>
      <c r="D34" s="80"/>
      <c r="E34" s="82"/>
      <c r="F34" s="82"/>
      <c r="G34" s="82">
        <f t="shared" si="3"/>
        <v>0</v>
      </c>
      <c r="H34" s="82">
        <f t="shared" si="3"/>
        <v>0</v>
      </c>
    </row>
    <row r="35" spans="1:12" x14ac:dyDescent="0.25">
      <c r="A35" s="123" t="s">
        <v>21</v>
      </c>
      <c r="B35" s="123"/>
      <c r="C35" s="123"/>
      <c r="D35" s="123"/>
      <c r="E35" s="123"/>
      <c r="F35" s="123"/>
      <c r="G35" s="83">
        <f>SUM(G31:G34)</f>
        <v>237300000</v>
      </c>
      <c r="H35" s="83">
        <f>SUM(H31:H34)</f>
        <v>768300000</v>
      </c>
    </row>
    <row r="36" spans="1:12" x14ac:dyDescent="0.25">
      <c r="A36" s="115" t="s">
        <v>7</v>
      </c>
      <c r="B36" s="115"/>
      <c r="C36" s="115"/>
      <c r="D36" s="115"/>
      <c r="E36" s="115"/>
      <c r="F36" s="115"/>
      <c r="G36" s="84"/>
      <c r="H36" s="84">
        <f>SUM(G35+H35)</f>
        <v>1005600000</v>
      </c>
      <c r="L36" s="79">
        <f>SUM(D31:D34)</f>
        <v>392</v>
      </c>
    </row>
    <row r="37" spans="1:12" x14ac:dyDescent="0.25">
      <c r="A37" s="115" t="s">
        <v>198</v>
      </c>
      <c r="B37" s="115"/>
      <c r="C37" s="115"/>
      <c r="D37" s="115"/>
      <c r="E37" s="115"/>
      <c r="F37" s="115"/>
      <c r="G37" s="84"/>
      <c r="H37" s="84">
        <f>H36/6</f>
        <v>167600000</v>
      </c>
    </row>
    <row r="38" spans="1:12" x14ac:dyDescent="0.25">
      <c r="A38" s="88"/>
      <c r="B38" s="88"/>
      <c r="C38" s="88"/>
      <c r="D38" s="88"/>
      <c r="E38" s="88"/>
      <c r="F38" s="88"/>
      <c r="G38" s="89"/>
      <c r="H38" s="89"/>
    </row>
    <row r="39" spans="1:12" x14ac:dyDescent="0.25">
      <c r="A39" s="116" t="s">
        <v>25</v>
      </c>
      <c r="B39" s="116"/>
      <c r="C39" s="116"/>
      <c r="D39" s="116"/>
      <c r="E39" s="116"/>
      <c r="F39" s="116"/>
      <c r="G39" s="116"/>
      <c r="H39" s="116"/>
    </row>
    <row r="40" spans="1:12" ht="14.25" customHeight="1" x14ac:dyDescent="0.25">
      <c r="A40" s="117" t="s">
        <v>1</v>
      </c>
      <c r="B40" s="117" t="s">
        <v>0</v>
      </c>
      <c r="C40" s="118" t="s">
        <v>17</v>
      </c>
      <c r="D40" s="119" t="s">
        <v>18</v>
      </c>
      <c r="E40" s="124" t="s">
        <v>23</v>
      </c>
      <c r="F40" s="125"/>
      <c r="G40" s="122" t="s">
        <v>8</v>
      </c>
      <c r="H40" s="122" t="s">
        <v>22</v>
      </c>
    </row>
    <row r="41" spans="1:12" x14ac:dyDescent="0.25">
      <c r="A41" s="117"/>
      <c r="B41" s="117"/>
      <c r="C41" s="118"/>
      <c r="D41" s="119"/>
      <c r="E41" s="80" t="s">
        <v>6</v>
      </c>
      <c r="F41" s="80" t="s">
        <v>20</v>
      </c>
      <c r="G41" s="122"/>
      <c r="H41" s="122"/>
    </row>
    <row r="42" spans="1:12" x14ac:dyDescent="0.25">
      <c r="A42" s="80">
        <v>1</v>
      </c>
      <c r="B42" s="81" t="s">
        <v>13</v>
      </c>
      <c r="C42" s="80">
        <f t="shared" ref="C42:D44" si="4">C31</f>
        <v>45</v>
      </c>
      <c r="D42" s="80">
        <f t="shared" si="4"/>
        <v>113</v>
      </c>
      <c r="E42" s="82">
        <f>300000</f>
        <v>300000</v>
      </c>
      <c r="F42" s="82">
        <f t="shared" ref="F42:F44" si="5">300000</f>
        <v>300000</v>
      </c>
      <c r="G42" s="82">
        <f>C42*E42</f>
        <v>13500000</v>
      </c>
      <c r="H42" s="82">
        <f>D42*F42</f>
        <v>33900000</v>
      </c>
    </row>
    <row r="43" spans="1:12" x14ac:dyDescent="0.25">
      <c r="A43" s="80">
        <v>2</v>
      </c>
      <c r="B43" s="81" t="s">
        <v>14</v>
      </c>
      <c r="C43" s="80">
        <f t="shared" si="4"/>
        <v>53</v>
      </c>
      <c r="D43" s="80">
        <f t="shared" si="4"/>
        <v>209</v>
      </c>
      <c r="E43" s="82">
        <f t="shared" ref="E43:E44" si="6">300000</f>
        <v>300000</v>
      </c>
      <c r="F43" s="82">
        <f t="shared" si="5"/>
        <v>300000</v>
      </c>
      <c r="G43" s="82">
        <f t="shared" ref="G43:H45" si="7">C43*E43</f>
        <v>15900000</v>
      </c>
      <c r="H43" s="82">
        <f t="shared" si="7"/>
        <v>62700000</v>
      </c>
    </row>
    <row r="44" spans="1:12" x14ac:dyDescent="0.25">
      <c r="A44" s="80">
        <v>3</v>
      </c>
      <c r="B44" s="81" t="s">
        <v>15</v>
      </c>
      <c r="C44" s="80">
        <f t="shared" si="4"/>
        <v>25</v>
      </c>
      <c r="D44" s="80">
        <f t="shared" si="4"/>
        <v>70</v>
      </c>
      <c r="E44" s="82">
        <f t="shared" si="6"/>
        <v>300000</v>
      </c>
      <c r="F44" s="82">
        <f t="shared" si="5"/>
        <v>300000</v>
      </c>
      <c r="G44" s="82">
        <f t="shared" si="7"/>
        <v>7500000</v>
      </c>
      <c r="H44" s="82">
        <f t="shared" si="7"/>
        <v>21000000</v>
      </c>
    </row>
    <row r="45" spans="1:12" x14ac:dyDescent="0.25">
      <c r="A45" s="80">
        <v>4</v>
      </c>
      <c r="B45" s="80"/>
      <c r="C45" s="80"/>
      <c r="D45" s="80"/>
      <c r="E45" s="82"/>
      <c r="F45" s="82"/>
      <c r="G45" s="82">
        <f t="shared" si="7"/>
        <v>0</v>
      </c>
      <c r="H45" s="82">
        <f t="shared" si="7"/>
        <v>0</v>
      </c>
      <c r="J45" s="79" t="s">
        <v>4</v>
      </c>
    </row>
    <row r="46" spans="1:12" x14ac:dyDescent="0.25">
      <c r="A46" s="123" t="s">
        <v>9</v>
      </c>
      <c r="B46" s="123"/>
      <c r="C46" s="123"/>
      <c r="D46" s="123"/>
      <c r="E46" s="123"/>
      <c r="F46" s="123"/>
      <c r="G46" s="83">
        <f>SUM(G42:G45)</f>
        <v>36900000</v>
      </c>
      <c r="H46" s="83">
        <f>SUM(H42:H45)</f>
        <v>117600000</v>
      </c>
      <c r="K46" s="79">
        <f>SUM(C42:C45)</f>
        <v>123</v>
      </c>
      <c r="L46" s="79">
        <f>SUM(D42:D45)</f>
        <v>392</v>
      </c>
    </row>
    <row r="47" spans="1:12" x14ac:dyDescent="0.25">
      <c r="A47" s="115" t="s">
        <v>7</v>
      </c>
      <c r="B47" s="115"/>
      <c r="C47" s="115"/>
      <c r="D47" s="115"/>
      <c r="E47" s="115"/>
      <c r="F47" s="115"/>
      <c r="G47" s="84"/>
      <c r="H47" s="84">
        <f>SUM(G46:H46)</f>
        <v>154500000</v>
      </c>
    </row>
    <row r="48" spans="1:12" x14ac:dyDescent="0.25">
      <c r="A48" s="115" t="s">
        <v>198</v>
      </c>
      <c r="B48" s="115"/>
      <c r="C48" s="115"/>
      <c r="D48" s="115"/>
      <c r="E48" s="115"/>
      <c r="F48" s="115"/>
      <c r="G48" s="84"/>
      <c r="H48" s="84">
        <f>H47/6</f>
        <v>25750000</v>
      </c>
    </row>
    <row r="49" spans="1:8" x14ac:dyDescent="0.25">
      <c r="A49" s="90"/>
      <c r="B49" s="90"/>
      <c r="C49" s="90"/>
      <c r="D49" s="90"/>
      <c r="E49" s="90"/>
      <c r="F49" s="90"/>
      <c r="G49" s="83"/>
      <c r="H49" s="83"/>
    </row>
    <row r="50" spans="1:8" x14ac:dyDescent="0.25">
      <c r="A50" s="116" t="s">
        <v>26</v>
      </c>
      <c r="B50" s="116"/>
      <c r="C50" s="116"/>
      <c r="D50" s="116"/>
      <c r="E50" s="116"/>
      <c r="F50" s="116"/>
      <c r="G50" s="116"/>
      <c r="H50" s="116"/>
    </row>
    <row r="51" spans="1:8" x14ac:dyDescent="0.25">
      <c r="A51" s="117" t="s">
        <v>1</v>
      </c>
      <c r="B51" s="117" t="s">
        <v>0</v>
      </c>
      <c r="C51" s="118" t="s">
        <v>17</v>
      </c>
      <c r="D51" s="119" t="s">
        <v>18</v>
      </c>
      <c r="E51" s="124" t="s">
        <v>26</v>
      </c>
      <c r="F51" s="125"/>
      <c r="G51" s="122" t="s">
        <v>8</v>
      </c>
      <c r="H51" s="122" t="s">
        <v>22</v>
      </c>
    </row>
    <row r="52" spans="1:8" x14ac:dyDescent="0.25">
      <c r="A52" s="117"/>
      <c r="B52" s="117"/>
      <c r="C52" s="118"/>
      <c r="D52" s="119"/>
      <c r="E52" s="80" t="s">
        <v>6</v>
      </c>
      <c r="F52" s="80" t="s">
        <v>20</v>
      </c>
      <c r="G52" s="122"/>
      <c r="H52" s="122"/>
    </row>
    <row r="53" spans="1:8" x14ac:dyDescent="0.25">
      <c r="A53" s="80">
        <v>1</v>
      </c>
      <c r="B53" s="81" t="s">
        <v>13</v>
      </c>
      <c r="C53" s="80">
        <f t="shared" ref="C53:D55" si="8">C42</f>
        <v>45</v>
      </c>
      <c r="D53" s="80">
        <f t="shared" si="8"/>
        <v>113</v>
      </c>
      <c r="E53" s="82">
        <f>300000</f>
        <v>300000</v>
      </c>
      <c r="F53" s="82">
        <f t="shared" ref="F53:F55" si="9">300000</f>
        <v>300000</v>
      </c>
      <c r="G53" s="82">
        <f>C53*E53</f>
        <v>13500000</v>
      </c>
      <c r="H53" s="82">
        <f>D53*F53</f>
        <v>33900000</v>
      </c>
    </row>
    <row r="54" spans="1:8" x14ac:dyDescent="0.25">
      <c r="A54" s="80">
        <v>2</v>
      </c>
      <c r="B54" s="81" t="s">
        <v>14</v>
      </c>
      <c r="C54" s="80">
        <f t="shared" si="8"/>
        <v>53</v>
      </c>
      <c r="D54" s="80">
        <f t="shared" si="8"/>
        <v>209</v>
      </c>
      <c r="E54" s="82">
        <f t="shared" ref="E54:E55" si="10">300000</f>
        <v>300000</v>
      </c>
      <c r="F54" s="82">
        <f t="shared" si="9"/>
        <v>300000</v>
      </c>
      <c r="G54" s="82">
        <f t="shared" ref="G54:H56" si="11">C54*E54</f>
        <v>15900000</v>
      </c>
      <c r="H54" s="82">
        <f t="shared" si="11"/>
        <v>62700000</v>
      </c>
    </row>
    <row r="55" spans="1:8" x14ac:dyDescent="0.25">
      <c r="A55" s="80">
        <v>3</v>
      </c>
      <c r="B55" s="81" t="s">
        <v>15</v>
      </c>
      <c r="C55" s="80">
        <f t="shared" si="8"/>
        <v>25</v>
      </c>
      <c r="D55" s="80">
        <f t="shared" si="8"/>
        <v>70</v>
      </c>
      <c r="E55" s="82">
        <f t="shared" si="10"/>
        <v>300000</v>
      </c>
      <c r="F55" s="82">
        <f t="shared" si="9"/>
        <v>300000</v>
      </c>
      <c r="G55" s="82">
        <f t="shared" si="11"/>
        <v>7500000</v>
      </c>
      <c r="H55" s="82">
        <f t="shared" si="11"/>
        <v>21000000</v>
      </c>
    </row>
    <row r="56" spans="1:8" x14ac:dyDescent="0.25">
      <c r="A56" s="80">
        <v>4</v>
      </c>
      <c r="B56" s="80"/>
      <c r="C56" s="80"/>
      <c r="D56" s="80"/>
      <c r="E56" s="82"/>
      <c r="F56" s="82"/>
      <c r="G56" s="82">
        <f t="shared" si="11"/>
        <v>0</v>
      </c>
      <c r="H56" s="82">
        <f t="shared" si="11"/>
        <v>0</v>
      </c>
    </row>
    <row r="57" spans="1:8" x14ac:dyDescent="0.25">
      <c r="A57" s="123" t="s">
        <v>9</v>
      </c>
      <c r="B57" s="123"/>
      <c r="C57" s="123"/>
      <c r="D57" s="123"/>
      <c r="E57" s="123"/>
      <c r="F57" s="123"/>
      <c r="G57" s="83">
        <f>SUM(G53:G56)</f>
        <v>36900000</v>
      </c>
      <c r="H57" s="83">
        <f>SUM(H53:H56)</f>
        <v>117600000</v>
      </c>
    </row>
    <row r="58" spans="1:8" x14ac:dyDescent="0.25">
      <c r="A58" s="115" t="s">
        <v>7</v>
      </c>
      <c r="B58" s="115"/>
      <c r="C58" s="115"/>
      <c r="D58" s="115"/>
      <c r="E58" s="115"/>
      <c r="F58" s="115"/>
      <c r="G58" s="84"/>
      <c r="H58" s="84">
        <f>SUM(G57:H57)</f>
        <v>154500000</v>
      </c>
    </row>
    <row r="59" spans="1:8" x14ac:dyDescent="0.25">
      <c r="A59" s="115" t="s">
        <v>198</v>
      </c>
      <c r="B59" s="115"/>
      <c r="C59" s="115"/>
      <c r="D59" s="115"/>
      <c r="E59" s="115"/>
      <c r="F59" s="115"/>
      <c r="G59" s="84"/>
      <c r="H59" s="84">
        <f>H58/6</f>
        <v>25750000</v>
      </c>
    </row>
    <row r="61" spans="1:8" x14ac:dyDescent="0.25">
      <c r="A61" s="116" t="s">
        <v>27</v>
      </c>
      <c r="B61" s="116"/>
      <c r="C61" s="116"/>
      <c r="D61" s="116"/>
      <c r="E61" s="116"/>
      <c r="F61" s="116"/>
      <c r="G61" s="116"/>
      <c r="H61" s="116"/>
    </row>
    <row r="62" spans="1:8" x14ac:dyDescent="0.25">
      <c r="A62" s="117" t="s">
        <v>1</v>
      </c>
      <c r="B62" s="117" t="s">
        <v>0</v>
      </c>
      <c r="C62" s="118" t="s">
        <v>17</v>
      </c>
      <c r="D62" s="119" t="s">
        <v>18</v>
      </c>
      <c r="E62" s="124" t="s">
        <v>27</v>
      </c>
      <c r="F62" s="125"/>
      <c r="G62" s="122" t="s">
        <v>8</v>
      </c>
      <c r="H62" s="122" t="s">
        <v>22</v>
      </c>
    </row>
    <row r="63" spans="1:8" x14ac:dyDescent="0.25">
      <c r="A63" s="117"/>
      <c r="B63" s="117"/>
      <c r="C63" s="118"/>
      <c r="D63" s="119"/>
      <c r="E63" s="80" t="s">
        <v>6</v>
      </c>
      <c r="F63" s="80" t="s">
        <v>20</v>
      </c>
      <c r="G63" s="122"/>
      <c r="H63" s="122"/>
    </row>
    <row r="64" spans="1:8" x14ac:dyDescent="0.25">
      <c r="A64" s="80">
        <v>1</v>
      </c>
      <c r="B64" s="81" t="s">
        <v>13</v>
      </c>
      <c r="C64" s="80">
        <f t="shared" ref="C64:D66" si="12">C53</f>
        <v>45</v>
      </c>
      <c r="D64" s="80">
        <f t="shared" si="12"/>
        <v>113</v>
      </c>
      <c r="E64" s="82">
        <f>300000</f>
        <v>300000</v>
      </c>
      <c r="F64" s="82">
        <f t="shared" ref="F64:F66" si="13">300000</f>
        <v>300000</v>
      </c>
      <c r="G64" s="82">
        <f>C64*E64</f>
        <v>13500000</v>
      </c>
      <c r="H64" s="82">
        <f>D64*F64</f>
        <v>33900000</v>
      </c>
    </row>
    <row r="65" spans="1:8" x14ac:dyDescent="0.25">
      <c r="A65" s="80">
        <v>2</v>
      </c>
      <c r="B65" s="81" t="s">
        <v>14</v>
      </c>
      <c r="C65" s="80">
        <f t="shared" si="12"/>
        <v>53</v>
      </c>
      <c r="D65" s="80">
        <f t="shared" si="12"/>
        <v>209</v>
      </c>
      <c r="E65" s="82">
        <f t="shared" ref="E65:E66" si="14">300000</f>
        <v>300000</v>
      </c>
      <c r="F65" s="82">
        <f t="shared" si="13"/>
        <v>300000</v>
      </c>
      <c r="G65" s="82">
        <f t="shared" ref="G65:H67" si="15">C65*E65</f>
        <v>15900000</v>
      </c>
      <c r="H65" s="82">
        <f t="shared" si="15"/>
        <v>62700000</v>
      </c>
    </row>
    <row r="66" spans="1:8" x14ac:dyDescent="0.25">
      <c r="A66" s="80">
        <v>3</v>
      </c>
      <c r="B66" s="81" t="s">
        <v>15</v>
      </c>
      <c r="C66" s="80">
        <f t="shared" si="12"/>
        <v>25</v>
      </c>
      <c r="D66" s="80">
        <f t="shared" si="12"/>
        <v>70</v>
      </c>
      <c r="E66" s="82">
        <f t="shared" si="14"/>
        <v>300000</v>
      </c>
      <c r="F66" s="82">
        <f t="shared" si="13"/>
        <v>300000</v>
      </c>
      <c r="G66" s="82">
        <f t="shared" si="15"/>
        <v>7500000</v>
      </c>
      <c r="H66" s="82">
        <f t="shared" si="15"/>
        <v>21000000</v>
      </c>
    </row>
    <row r="67" spans="1:8" x14ac:dyDescent="0.25">
      <c r="A67" s="80">
        <v>4</v>
      </c>
      <c r="B67" s="80"/>
      <c r="C67" s="80"/>
      <c r="D67" s="80"/>
      <c r="E67" s="82"/>
      <c r="F67" s="82"/>
      <c r="G67" s="82">
        <f t="shared" si="15"/>
        <v>0</v>
      </c>
      <c r="H67" s="82">
        <f t="shared" si="15"/>
        <v>0</v>
      </c>
    </row>
    <row r="68" spans="1:8" x14ac:dyDescent="0.25">
      <c r="A68" s="123" t="s">
        <v>9</v>
      </c>
      <c r="B68" s="123"/>
      <c r="C68" s="123"/>
      <c r="D68" s="123"/>
      <c r="E68" s="123"/>
      <c r="F68" s="123"/>
      <c r="G68" s="83">
        <f>SUM(G64:G67)</f>
        <v>36900000</v>
      </c>
      <c r="H68" s="83">
        <f>SUM(H64:H67)</f>
        <v>117600000</v>
      </c>
    </row>
    <row r="69" spans="1:8" x14ac:dyDescent="0.25">
      <c r="A69" s="115" t="s">
        <v>7</v>
      </c>
      <c r="B69" s="115"/>
      <c r="C69" s="115"/>
      <c r="D69" s="115"/>
      <c r="E69" s="115"/>
      <c r="F69" s="115"/>
      <c r="G69" s="84"/>
      <c r="H69" s="84">
        <f>SUM(G68+H68)</f>
        <v>154500000</v>
      </c>
    </row>
    <row r="70" spans="1:8" x14ac:dyDescent="0.25">
      <c r="A70" s="115" t="s">
        <v>198</v>
      </c>
      <c r="B70" s="115"/>
      <c r="C70" s="115"/>
      <c r="D70" s="115"/>
      <c r="E70" s="115"/>
      <c r="F70" s="115"/>
      <c r="G70" s="84"/>
      <c r="H70" s="84">
        <f>H69/6</f>
        <v>25750000</v>
      </c>
    </row>
    <row r="73" spans="1:8" x14ac:dyDescent="0.25">
      <c r="A73" s="116" t="s">
        <v>195</v>
      </c>
      <c r="B73" s="116"/>
      <c r="C73" s="116"/>
      <c r="D73" s="116"/>
      <c r="E73" s="116"/>
      <c r="F73" s="116"/>
      <c r="G73" s="116"/>
      <c r="H73" s="116"/>
    </row>
    <row r="74" spans="1:8" x14ac:dyDescent="0.25">
      <c r="A74" s="117" t="s">
        <v>1</v>
      </c>
      <c r="B74" s="117" t="s">
        <v>0</v>
      </c>
      <c r="C74" s="118" t="s">
        <v>196</v>
      </c>
      <c r="D74" s="119" t="s">
        <v>18</v>
      </c>
      <c r="E74" s="124" t="s">
        <v>195</v>
      </c>
      <c r="F74" s="125"/>
      <c r="G74" s="122" t="s">
        <v>8</v>
      </c>
      <c r="H74" s="122" t="s">
        <v>22</v>
      </c>
    </row>
    <row r="75" spans="1:8" x14ac:dyDescent="0.25">
      <c r="A75" s="117"/>
      <c r="B75" s="117"/>
      <c r="C75" s="118"/>
      <c r="D75" s="119"/>
      <c r="E75" s="80" t="s">
        <v>197</v>
      </c>
      <c r="F75" s="80" t="s">
        <v>20</v>
      </c>
      <c r="G75" s="122"/>
      <c r="H75" s="122"/>
    </row>
    <row r="76" spans="1:8" x14ac:dyDescent="0.25">
      <c r="A76" s="80">
        <v>1</v>
      </c>
      <c r="B76" s="81" t="s">
        <v>13</v>
      </c>
      <c r="C76" s="80">
        <f>[1]MHSW!D7</f>
        <v>49</v>
      </c>
      <c r="D76" s="80">
        <f>C76</f>
        <v>49</v>
      </c>
      <c r="E76" s="82">
        <f>650000</f>
        <v>650000</v>
      </c>
      <c r="F76" s="82"/>
      <c r="G76" s="82">
        <f>C76*E76</f>
        <v>31850000</v>
      </c>
      <c r="H76" s="82">
        <f>D76*F76</f>
        <v>0</v>
      </c>
    </row>
    <row r="77" spans="1:8" x14ac:dyDescent="0.25">
      <c r="A77" s="80">
        <v>2</v>
      </c>
      <c r="B77" s="81" t="s">
        <v>14</v>
      </c>
      <c r="C77" s="80">
        <f>[1]MHSW!D8</f>
        <v>55</v>
      </c>
      <c r="D77" s="80">
        <f>C77</f>
        <v>55</v>
      </c>
      <c r="E77" s="82">
        <f>650000</f>
        <v>650000</v>
      </c>
      <c r="F77" s="82"/>
      <c r="G77" s="82">
        <f t="shared" ref="G77:H79" si="16">C77*E77</f>
        <v>35750000</v>
      </c>
      <c r="H77" s="82">
        <f t="shared" si="16"/>
        <v>0</v>
      </c>
    </row>
    <row r="78" spans="1:8" x14ac:dyDescent="0.25">
      <c r="A78" s="80">
        <v>3</v>
      </c>
      <c r="B78" s="81" t="s">
        <v>15</v>
      </c>
      <c r="C78" s="80">
        <f>[1]MHSW!D9</f>
        <v>17</v>
      </c>
      <c r="D78" s="80">
        <f>C78</f>
        <v>17</v>
      </c>
      <c r="E78" s="82">
        <f>650000</f>
        <v>650000</v>
      </c>
      <c r="F78" s="82"/>
      <c r="G78" s="82">
        <f t="shared" si="16"/>
        <v>11050000</v>
      </c>
      <c r="H78" s="82">
        <f t="shared" si="16"/>
        <v>0</v>
      </c>
    </row>
    <row r="79" spans="1:8" x14ac:dyDescent="0.25">
      <c r="A79" s="80">
        <v>4</v>
      </c>
      <c r="B79" s="80"/>
      <c r="C79" s="80"/>
      <c r="D79" s="80"/>
      <c r="E79" s="82"/>
      <c r="F79" s="82"/>
      <c r="G79" s="82">
        <f t="shared" si="16"/>
        <v>0</v>
      </c>
      <c r="H79" s="82">
        <f t="shared" si="16"/>
        <v>0</v>
      </c>
    </row>
    <row r="80" spans="1:8" x14ac:dyDescent="0.25">
      <c r="A80" s="123" t="s">
        <v>9</v>
      </c>
      <c r="B80" s="123"/>
      <c r="C80" s="123"/>
      <c r="D80" s="123"/>
      <c r="E80" s="123"/>
      <c r="F80" s="123"/>
      <c r="G80" s="83">
        <f>SUM(G76:G79)</f>
        <v>78650000</v>
      </c>
      <c r="H80" s="83">
        <f>SUM(H76:H79)</f>
        <v>0</v>
      </c>
    </row>
    <row r="81" spans="1:8" x14ac:dyDescent="0.25">
      <c r="A81" s="115" t="s">
        <v>7</v>
      </c>
      <c r="B81" s="115"/>
      <c r="C81" s="115"/>
      <c r="D81" s="115"/>
      <c r="E81" s="115"/>
      <c r="F81" s="115"/>
      <c r="G81" s="84"/>
      <c r="H81" s="84">
        <f>SUM(G80+H80)</f>
        <v>78650000</v>
      </c>
    </row>
    <row r="82" spans="1:8" x14ac:dyDescent="0.25">
      <c r="A82" s="115" t="s">
        <v>198</v>
      </c>
      <c r="B82" s="115"/>
      <c r="C82" s="115"/>
      <c r="D82" s="115"/>
      <c r="E82" s="115"/>
      <c r="F82" s="115"/>
      <c r="G82" s="84"/>
      <c r="H82" s="84">
        <f>H81/6</f>
        <v>13108333.333333334</v>
      </c>
    </row>
    <row r="85" spans="1:8" x14ac:dyDescent="0.25">
      <c r="C85" s="80">
        <f>SUM(C76:C78)</f>
        <v>121</v>
      </c>
    </row>
  </sheetData>
  <mergeCells count="79">
    <mergeCell ref="G62:G63"/>
    <mergeCell ref="A59:F59"/>
    <mergeCell ref="H74:H75"/>
    <mergeCell ref="A80:F80"/>
    <mergeCell ref="A81:F81"/>
    <mergeCell ref="H62:H63"/>
    <mergeCell ref="A68:F68"/>
    <mergeCell ref="A69:F69"/>
    <mergeCell ref="A73:H73"/>
    <mergeCell ref="A74:A75"/>
    <mergeCell ref="B74:B75"/>
    <mergeCell ref="C74:C75"/>
    <mergeCell ref="D74:D75"/>
    <mergeCell ref="E74:F74"/>
    <mergeCell ref="G74:G75"/>
    <mergeCell ref="A70:F70"/>
    <mergeCell ref="A62:A63"/>
    <mergeCell ref="B62:B63"/>
    <mergeCell ref="C62:C63"/>
    <mergeCell ref="D62:D63"/>
    <mergeCell ref="E62:F62"/>
    <mergeCell ref="A48:F48"/>
    <mergeCell ref="H51:H52"/>
    <mergeCell ref="A57:F57"/>
    <mergeCell ref="A58:F58"/>
    <mergeCell ref="A61:H61"/>
    <mergeCell ref="A50:H50"/>
    <mergeCell ref="A51:A52"/>
    <mergeCell ref="B51:B52"/>
    <mergeCell ref="C51:C52"/>
    <mergeCell ref="D51:D52"/>
    <mergeCell ref="E51:F51"/>
    <mergeCell ref="G51:G52"/>
    <mergeCell ref="G40:G41"/>
    <mergeCell ref="A37:F37"/>
    <mergeCell ref="H40:H41"/>
    <mergeCell ref="A46:F46"/>
    <mergeCell ref="A47:F47"/>
    <mergeCell ref="A40:A41"/>
    <mergeCell ref="B40:B41"/>
    <mergeCell ref="C40:C41"/>
    <mergeCell ref="D40:D41"/>
    <mergeCell ref="E40:F40"/>
    <mergeCell ref="G29:G30"/>
    <mergeCell ref="H29:H30"/>
    <mergeCell ref="A35:F35"/>
    <mergeCell ref="A36:F36"/>
    <mergeCell ref="A39:H39"/>
    <mergeCell ref="A29:A30"/>
    <mergeCell ref="B29:B30"/>
    <mergeCell ref="C29:C30"/>
    <mergeCell ref="D29:D30"/>
    <mergeCell ref="E29:F29"/>
    <mergeCell ref="G17:G18"/>
    <mergeCell ref="H17:H18"/>
    <mergeCell ref="A23:F23"/>
    <mergeCell ref="A24:F24"/>
    <mergeCell ref="A28:H28"/>
    <mergeCell ref="A17:A18"/>
    <mergeCell ref="B17:B18"/>
    <mergeCell ref="C17:C18"/>
    <mergeCell ref="D17:D18"/>
    <mergeCell ref="E17:F17"/>
    <mergeCell ref="A82:F82"/>
    <mergeCell ref="A25:F25"/>
    <mergeCell ref="A1:H1"/>
    <mergeCell ref="A2:H2"/>
    <mergeCell ref="A3:H3"/>
    <mergeCell ref="A5:H5"/>
    <mergeCell ref="A6:A7"/>
    <mergeCell ref="B6:B7"/>
    <mergeCell ref="C6:C7"/>
    <mergeCell ref="D6:D7"/>
    <mergeCell ref="E6:F6"/>
    <mergeCell ref="G6:G7"/>
    <mergeCell ref="H6:H7"/>
    <mergeCell ref="A12:F12"/>
    <mergeCell ref="A13:F13"/>
    <mergeCell ref="A16:H16"/>
  </mergeCells>
  <printOptions horizontalCentered="1"/>
  <pageMargins left="0.5" right="0.25" top="0.75" bottom="0.75" header="0.3" footer="0.3"/>
  <pageSetup paperSize="9" scale="60" fitToHeight="0" orientation="portrait" horizont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F94A-2F8D-4DB5-8291-FB9D89BAF312}">
  <dimension ref="A1:L51"/>
  <sheetViews>
    <sheetView showGridLines="0" topLeftCell="A16" workbookViewId="0">
      <selection activeCell="D29" sqref="D29"/>
    </sheetView>
  </sheetViews>
  <sheetFormatPr defaultColWidth="8.77734375" defaultRowHeight="14.4" x14ac:dyDescent="0.3"/>
  <cols>
    <col min="1" max="2" width="3.77734375" style="24" customWidth="1"/>
    <col min="3" max="3" width="50.5546875" style="24" customWidth="1"/>
    <col min="4" max="10" width="15.77734375" style="24" customWidth="1"/>
    <col min="11" max="11" width="19.77734375" style="24" customWidth="1"/>
    <col min="12" max="16384" width="8.77734375" style="24"/>
  </cols>
  <sheetData>
    <row r="1" spans="1:12" ht="21" x14ac:dyDescent="0.4">
      <c r="A1" s="126" t="s">
        <v>43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ht="18" x14ac:dyDescent="0.35">
      <c r="A2" s="127" t="s">
        <v>44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ht="18" x14ac:dyDescent="0.35">
      <c r="A3" s="127" t="s">
        <v>45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1:12" ht="18" x14ac:dyDescent="0.35">
      <c r="A4" s="127" t="s">
        <v>46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</row>
    <row r="5" spans="1:12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2" ht="35.1" customHeight="1" x14ac:dyDescent="0.3">
      <c r="A6" s="26"/>
      <c r="B6" s="27"/>
      <c r="C6" s="28" t="s">
        <v>47</v>
      </c>
      <c r="D6" s="128" t="s">
        <v>48</v>
      </c>
      <c r="E6" s="129"/>
      <c r="F6" s="129"/>
      <c r="G6" s="129"/>
      <c r="H6" s="129"/>
      <c r="I6" s="129"/>
      <c r="J6" s="130"/>
      <c r="K6" s="29" t="s">
        <v>49</v>
      </c>
    </row>
    <row r="7" spans="1:12" ht="15.6" x14ac:dyDescent="0.3">
      <c r="A7" s="30"/>
      <c r="B7" s="31"/>
      <c r="C7" s="32"/>
      <c r="D7" s="33" t="s">
        <v>50</v>
      </c>
      <c r="E7" s="33" t="s">
        <v>51</v>
      </c>
      <c r="F7" s="33" t="s">
        <v>52</v>
      </c>
      <c r="G7" s="33" t="s">
        <v>53</v>
      </c>
      <c r="H7" s="33" t="s">
        <v>54</v>
      </c>
      <c r="I7" s="33" t="s">
        <v>55</v>
      </c>
      <c r="J7" s="33"/>
      <c r="K7" s="34"/>
    </row>
    <row r="8" spans="1:12" x14ac:dyDescent="0.3">
      <c r="A8" s="35"/>
      <c r="B8" s="36"/>
      <c r="C8" s="37"/>
      <c r="D8" s="38"/>
      <c r="E8" s="39"/>
      <c r="F8" s="39"/>
      <c r="G8" s="39"/>
      <c r="H8" s="39"/>
      <c r="I8" s="39"/>
      <c r="J8" s="39"/>
      <c r="K8" s="39"/>
    </row>
    <row r="9" spans="1:12" ht="15.6" x14ac:dyDescent="0.3">
      <c r="A9" s="40"/>
      <c r="B9" s="40"/>
      <c r="C9" s="41" t="s">
        <v>56</v>
      </c>
      <c r="D9" s="42"/>
      <c r="E9" s="43"/>
      <c r="F9" s="43"/>
      <c r="G9" s="43"/>
      <c r="H9" s="43"/>
      <c r="I9" s="43"/>
      <c r="J9" s="43"/>
      <c r="K9" s="43"/>
    </row>
    <row r="10" spans="1:12" ht="15.6" x14ac:dyDescent="0.3">
      <c r="A10" s="44"/>
      <c r="B10" s="44"/>
      <c r="C10" s="45"/>
      <c r="D10" s="44"/>
      <c r="E10" s="44"/>
      <c r="F10" s="44"/>
      <c r="G10" s="44"/>
      <c r="H10" s="44"/>
      <c r="I10" s="44"/>
      <c r="J10" s="44"/>
      <c r="K10" s="44"/>
    </row>
    <row r="11" spans="1:12" ht="15.6" x14ac:dyDescent="0.3">
      <c r="A11" s="44"/>
      <c r="B11" s="44"/>
      <c r="C11" s="46" t="s">
        <v>57</v>
      </c>
      <c r="D11" s="47">
        <f>'POTENSI GASAL'!$H48</f>
        <v>25750000</v>
      </c>
      <c r="E11" s="47">
        <f>'POTENSI GASAL'!$H48</f>
        <v>25750000</v>
      </c>
      <c r="F11" s="47">
        <f>'POTENSI GASAL'!$H48</f>
        <v>25750000</v>
      </c>
      <c r="G11" s="47">
        <f>'POTENSI GASAL'!$H48</f>
        <v>25750000</v>
      </c>
      <c r="H11" s="47">
        <f>'POTENSI GASAL'!$H48</f>
        <v>25750000</v>
      </c>
      <c r="I11" s="47">
        <f>'POTENSI GASAL'!$H48</f>
        <v>25750000</v>
      </c>
      <c r="J11" s="47"/>
      <c r="K11" s="47">
        <f>SUM(D11:J11)</f>
        <v>154500000</v>
      </c>
    </row>
    <row r="12" spans="1:12" ht="15.6" x14ac:dyDescent="0.3">
      <c r="A12" s="44"/>
      <c r="B12" s="44"/>
      <c r="C12" s="48" t="s">
        <v>58</v>
      </c>
      <c r="D12" s="47">
        <f>'POTENSI GASAL'!$H37</f>
        <v>167600000</v>
      </c>
      <c r="E12" s="47">
        <f>'POTENSI GASAL'!$H37</f>
        <v>167600000</v>
      </c>
      <c r="F12" s="47">
        <f>'POTENSI GASAL'!$H37</f>
        <v>167600000</v>
      </c>
      <c r="G12" s="47">
        <f>'POTENSI GASAL'!$H37</f>
        <v>167600000</v>
      </c>
      <c r="H12" s="47">
        <f>'POTENSI GASAL'!$H37</f>
        <v>167600000</v>
      </c>
      <c r="I12" s="47">
        <f>'POTENSI GASAL'!$H37</f>
        <v>167600000</v>
      </c>
      <c r="J12" s="47"/>
      <c r="K12" s="47">
        <f>SUM(D12:J12)</f>
        <v>1005600000</v>
      </c>
    </row>
    <row r="13" spans="1:12" ht="15.6" x14ac:dyDescent="0.3">
      <c r="A13" s="44"/>
      <c r="B13" s="44"/>
      <c r="C13" s="48" t="s">
        <v>59</v>
      </c>
      <c r="D13" s="47">
        <f>'POTENSI GASAL'!H13</f>
        <v>209100000</v>
      </c>
      <c r="E13" s="47"/>
      <c r="F13" s="47"/>
      <c r="G13" s="47"/>
      <c r="H13" s="47"/>
      <c r="I13" s="47"/>
      <c r="J13" s="47"/>
      <c r="K13" s="47">
        <f t="shared" ref="K13:K15" si="0">SUM(D13:J13)</f>
        <v>209100000</v>
      </c>
    </row>
    <row r="14" spans="1:12" ht="15.6" x14ac:dyDescent="0.3">
      <c r="A14" s="44"/>
      <c r="B14" s="44"/>
      <c r="C14" s="48" t="s">
        <v>60</v>
      </c>
      <c r="D14" s="47">
        <f>'POTENSI GASAL'!$H25</f>
        <v>16541666.666666666</v>
      </c>
      <c r="E14" s="47">
        <f>'POTENSI GASAL'!$H25</f>
        <v>16541666.666666666</v>
      </c>
      <c r="F14" s="47">
        <f>'POTENSI GASAL'!$H25</f>
        <v>16541666.666666666</v>
      </c>
      <c r="G14" s="47">
        <f>'POTENSI GASAL'!$H25</f>
        <v>16541666.666666666</v>
      </c>
      <c r="H14" s="47">
        <f>'POTENSI GASAL'!$H25</f>
        <v>16541666.666666666</v>
      </c>
      <c r="I14" s="47">
        <f>'POTENSI GASAL'!$H25</f>
        <v>16541666.666666666</v>
      </c>
      <c r="J14" s="47"/>
      <c r="K14" s="47">
        <f t="shared" si="0"/>
        <v>99250000</v>
      </c>
    </row>
    <row r="15" spans="1:12" ht="15.6" x14ac:dyDescent="0.3">
      <c r="A15" s="44"/>
      <c r="B15" s="44"/>
      <c r="C15" s="48" t="s">
        <v>61</v>
      </c>
      <c r="D15" s="47"/>
      <c r="E15" s="47"/>
      <c r="F15" s="47"/>
      <c r="G15" s="47"/>
      <c r="H15" s="47"/>
      <c r="I15" s="47"/>
      <c r="J15" s="47"/>
      <c r="K15" s="47">
        <f t="shared" si="0"/>
        <v>0</v>
      </c>
    </row>
    <row r="16" spans="1:12" ht="15.6" x14ac:dyDescent="0.3">
      <c r="A16" s="44"/>
      <c r="B16" s="44"/>
      <c r="C16" s="48" t="s">
        <v>62</v>
      </c>
      <c r="D16" s="47">
        <f>'POTENSI GASAL'!$H59</f>
        <v>25750000</v>
      </c>
      <c r="E16" s="47">
        <f>'POTENSI GASAL'!$H59</f>
        <v>25750000</v>
      </c>
      <c r="F16" s="47">
        <f>'POTENSI GASAL'!$H59</f>
        <v>25750000</v>
      </c>
      <c r="G16" s="47">
        <f>'POTENSI GASAL'!$H59</f>
        <v>25750000</v>
      </c>
      <c r="H16" s="47">
        <f>'POTENSI GASAL'!$H59</f>
        <v>25750000</v>
      </c>
      <c r="I16" s="47">
        <f>'POTENSI GASAL'!$H59</f>
        <v>25750000</v>
      </c>
      <c r="J16" s="47"/>
      <c r="K16" s="47">
        <f>SUM(D16:J16)</f>
        <v>154500000</v>
      </c>
    </row>
    <row r="17" spans="1:11" ht="15.6" x14ac:dyDescent="0.3">
      <c r="A17" s="44"/>
      <c r="B17" s="44"/>
      <c r="C17" s="48" t="s">
        <v>63</v>
      </c>
      <c r="D17" s="47">
        <f>'POTENSI GASAL'!$H70</f>
        <v>25750000</v>
      </c>
      <c r="E17" s="47">
        <f>'POTENSI GASAL'!$H70</f>
        <v>25750000</v>
      </c>
      <c r="F17" s="47">
        <f>'POTENSI GASAL'!$H70</f>
        <v>25750000</v>
      </c>
      <c r="G17" s="47">
        <f>'POTENSI GASAL'!$H70</f>
        <v>25750000</v>
      </c>
      <c r="H17" s="47">
        <f>'POTENSI GASAL'!$H70</f>
        <v>25750000</v>
      </c>
      <c r="I17" s="47">
        <f>'POTENSI GASAL'!$H70</f>
        <v>25750000</v>
      </c>
      <c r="J17" s="47"/>
      <c r="K17" s="47">
        <f>SUM(D17:J17)</f>
        <v>154500000</v>
      </c>
    </row>
    <row r="18" spans="1:11" ht="15.6" x14ac:dyDescent="0.3">
      <c r="A18" s="44"/>
      <c r="B18" s="44"/>
      <c r="C18" s="48" t="s">
        <v>64</v>
      </c>
      <c r="D18" s="47"/>
      <c r="E18" s="47"/>
      <c r="F18" s="47"/>
      <c r="G18" s="47"/>
      <c r="H18" s="47"/>
      <c r="I18" s="47"/>
      <c r="J18" s="47"/>
      <c r="K18" s="47"/>
    </row>
    <row r="19" spans="1:11" ht="15.6" x14ac:dyDescent="0.3">
      <c r="A19" s="44"/>
      <c r="B19" s="44"/>
      <c r="C19" s="48" t="s">
        <v>65</v>
      </c>
      <c r="D19" s="47">
        <f>'POTENSI GASAL'!$H82</f>
        <v>13108333.333333334</v>
      </c>
      <c r="E19" s="47">
        <f>'POTENSI GASAL'!$H82</f>
        <v>13108333.333333334</v>
      </c>
      <c r="F19" s="47">
        <f>'POTENSI GASAL'!$H82</f>
        <v>13108333.333333334</v>
      </c>
      <c r="G19" s="47">
        <f>'POTENSI GASAL'!$H82</f>
        <v>13108333.333333334</v>
      </c>
      <c r="H19" s="47">
        <f>'POTENSI GASAL'!$H82</f>
        <v>13108333.333333334</v>
      </c>
      <c r="I19" s="47">
        <f>'POTENSI GASAL'!$H82</f>
        <v>13108333.333333334</v>
      </c>
      <c r="J19" s="47"/>
      <c r="K19" s="47">
        <f t="shared" ref="K19:K27" si="1">SUM(D19:J19)</f>
        <v>78650000</v>
      </c>
    </row>
    <row r="20" spans="1:11" ht="15.6" x14ac:dyDescent="0.3">
      <c r="A20" s="44"/>
      <c r="B20" s="44"/>
      <c r="C20" s="48"/>
      <c r="D20" s="47"/>
      <c r="E20" s="47"/>
      <c r="F20" s="47"/>
      <c r="G20" s="47"/>
      <c r="H20" s="47"/>
      <c r="I20" s="47"/>
      <c r="J20" s="47"/>
      <c r="K20" s="47">
        <f t="shared" si="1"/>
        <v>0</v>
      </c>
    </row>
    <row r="21" spans="1:11" ht="15.6" x14ac:dyDescent="0.3">
      <c r="A21" s="44"/>
      <c r="B21" s="44"/>
      <c r="C21" s="48"/>
      <c r="D21" s="47"/>
      <c r="E21" s="47"/>
      <c r="F21" s="47"/>
      <c r="G21" s="47"/>
      <c r="H21" s="47"/>
      <c r="I21" s="47"/>
      <c r="J21" s="47"/>
      <c r="K21" s="47">
        <f t="shared" si="1"/>
        <v>0</v>
      </c>
    </row>
    <row r="22" spans="1:11" ht="15.6" x14ac:dyDescent="0.3">
      <c r="A22" s="44"/>
      <c r="B22" s="44"/>
      <c r="C22" s="48"/>
      <c r="D22" s="47"/>
      <c r="E22" s="47"/>
      <c r="F22" s="47"/>
      <c r="G22" s="47"/>
      <c r="H22" s="47"/>
      <c r="I22" s="47"/>
      <c r="J22" s="47"/>
      <c r="K22" s="47">
        <f t="shared" si="1"/>
        <v>0</v>
      </c>
    </row>
    <row r="23" spans="1:11" ht="15.6" x14ac:dyDescent="0.3">
      <c r="A23" s="44"/>
      <c r="B23" s="44"/>
      <c r="C23" s="48"/>
      <c r="D23" s="47"/>
      <c r="E23" s="47"/>
      <c r="F23" s="47"/>
      <c r="G23" s="47"/>
      <c r="H23" s="47"/>
      <c r="I23" s="47"/>
      <c r="J23" s="47"/>
      <c r="K23" s="47">
        <f t="shared" si="1"/>
        <v>0</v>
      </c>
    </row>
    <row r="24" spans="1:11" ht="15.6" x14ac:dyDescent="0.3">
      <c r="A24" s="44"/>
      <c r="B24" s="44"/>
      <c r="C24" s="48"/>
      <c r="D24" s="47"/>
      <c r="E24" s="47"/>
      <c r="F24" s="47"/>
      <c r="G24" s="47"/>
      <c r="H24" s="47"/>
      <c r="I24" s="47"/>
      <c r="J24" s="47"/>
      <c r="K24" s="47">
        <f t="shared" si="1"/>
        <v>0</v>
      </c>
    </row>
    <row r="25" spans="1:11" ht="15.6" x14ac:dyDescent="0.3">
      <c r="A25" s="44"/>
      <c r="B25" s="44"/>
      <c r="C25" s="48"/>
      <c r="D25" s="47"/>
      <c r="E25" s="47"/>
      <c r="F25" s="47"/>
      <c r="G25" s="47"/>
      <c r="H25" s="47"/>
      <c r="I25" s="47"/>
      <c r="J25" s="47"/>
      <c r="K25" s="47">
        <f t="shared" si="1"/>
        <v>0</v>
      </c>
    </row>
    <row r="26" spans="1:11" ht="15.6" x14ac:dyDescent="0.3">
      <c r="A26" s="44"/>
      <c r="B26" s="44"/>
      <c r="C26" s="49"/>
      <c r="D26" s="47"/>
      <c r="E26" s="47"/>
      <c r="F26" s="47"/>
      <c r="G26" s="47"/>
      <c r="H26" s="47"/>
      <c r="I26" s="47"/>
      <c r="J26" s="47"/>
      <c r="K26" s="47">
        <f t="shared" si="1"/>
        <v>0</v>
      </c>
    </row>
    <row r="27" spans="1:11" ht="15.6" x14ac:dyDescent="0.3">
      <c r="A27" s="44"/>
      <c r="B27" s="44"/>
      <c r="C27" s="46"/>
      <c r="D27" s="47"/>
      <c r="E27" s="47"/>
      <c r="F27" s="47"/>
      <c r="G27" s="47"/>
      <c r="H27" s="47"/>
      <c r="I27" s="47"/>
      <c r="J27" s="47"/>
      <c r="K27" s="47">
        <f t="shared" si="1"/>
        <v>0</v>
      </c>
    </row>
    <row r="28" spans="1:11" x14ac:dyDescent="0.3">
      <c r="A28" s="44"/>
      <c r="B28" s="44"/>
      <c r="C28" s="44"/>
      <c r="D28" s="47"/>
      <c r="E28" s="47"/>
      <c r="F28" s="47"/>
      <c r="G28" s="47"/>
      <c r="H28" s="47"/>
      <c r="I28" s="47"/>
      <c r="J28" s="47"/>
      <c r="K28" s="47"/>
    </row>
    <row r="29" spans="1:11" ht="15.6" x14ac:dyDescent="0.3">
      <c r="A29" s="50"/>
      <c r="B29" s="50"/>
      <c r="C29" s="33" t="s">
        <v>66</v>
      </c>
      <c r="D29" s="51">
        <f>SUM(D11:D28)</f>
        <v>483600000</v>
      </c>
      <c r="E29" s="51">
        <f t="shared" ref="E29:K29" si="2">SUM(E11:E28)</f>
        <v>274500000</v>
      </c>
      <c r="F29" s="51">
        <f t="shared" si="2"/>
        <v>274500000</v>
      </c>
      <c r="G29" s="51">
        <f t="shared" si="2"/>
        <v>274500000</v>
      </c>
      <c r="H29" s="51">
        <f t="shared" si="2"/>
        <v>274500000</v>
      </c>
      <c r="I29" s="51">
        <f t="shared" si="2"/>
        <v>274500000</v>
      </c>
      <c r="J29" s="51">
        <f t="shared" si="2"/>
        <v>0</v>
      </c>
      <c r="K29" s="51">
        <f t="shared" si="2"/>
        <v>1856100000</v>
      </c>
    </row>
    <row r="30" spans="1:11" x14ac:dyDescent="0.3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1:11" x14ac:dyDescent="0.3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ht="15.6" x14ac:dyDescent="0.3">
      <c r="A32" s="52"/>
      <c r="B32" s="53"/>
      <c r="C32" s="54"/>
      <c r="D32" s="25"/>
      <c r="E32" s="25"/>
      <c r="F32" s="25"/>
      <c r="G32" s="25"/>
      <c r="H32" s="25"/>
      <c r="I32" s="25"/>
      <c r="J32" s="25"/>
      <c r="K32" s="25"/>
    </row>
    <row r="33" spans="1:11" x14ac:dyDescent="0.3">
      <c r="A33" s="25"/>
      <c r="B33" s="55"/>
      <c r="C33" s="56"/>
      <c r="D33" s="25"/>
      <c r="E33" s="25"/>
      <c r="F33" s="25"/>
      <c r="G33" s="25"/>
      <c r="H33" s="25"/>
      <c r="I33" s="25"/>
      <c r="J33" s="25"/>
      <c r="K33" s="25"/>
    </row>
    <row r="34" spans="1:11" x14ac:dyDescent="0.3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pans="1:11" x14ac:dyDescent="0.3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1:11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3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pans="1:11" x14ac:dyDescent="0.3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1" x14ac:dyDescent="0.3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1:11" x14ac:dyDescent="0.3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1" x14ac:dyDescent="0.3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spans="1:11" x14ac:dyDescent="0.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1:11" x14ac:dyDescent="0.3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1" x14ac:dyDescent="0.3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x14ac:dyDescent="0.3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x14ac:dyDescent="0.3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x14ac:dyDescent="0.3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x14ac:dyDescent="0.3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x14ac:dyDescent="0.3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spans="1:11" x14ac:dyDescent="0.3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</row>
  </sheetData>
  <mergeCells count="5">
    <mergeCell ref="A1:L1"/>
    <mergeCell ref="A2:L2"/>
    <mergeCell ref="A3:L3"/>
    <mergeCell ref="A4:L4"/>
    <mergeCell ref="D6:J6"/>
  </mergeCells>
  <pageMargins left="0.7" right="0.7" top="0.75" bottom="0.75" header="0.3" footer="0.3"/>
  <pageSetup paperSize="9" scale="7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262B-B8B0-4BD1-BF22-63F73E495FD4}">
  <dimension ref="A1:M135"/>
  <sheetViews>
    <sheetView topLeftCell="A118" zoomScaleNormal="100" workbookViewId="0">
      <selection activeCell="H136" sqref="H136"/>
    </sheetView>
  </sheetViews>
  <sheetFormatPr defaultColWidth="9.21875" defaultRowHeight="13.8" x14ac:dyDescent="0.25"/>
  <cols>
    <col min="1" max="1" width="5.77734375" style="9" customWidth="1"/>
    <col min="2" max="2" width="19.21875" style="9" bestFit="1" customWidth="1"/>
    <col min="3" max="3" width="11.21875" style="9" customWidth="1"/>
    <col min="4" max="4" width="11.77734375" style="9" customWidth="1"/>
    <col min="5" max="5" width="12.77734375" style="9" customWidth="1"/>
    <col min="6" max="6" width="13" style="9" customWidth="1"/>
    <col min="7" max="8" width="20.77734375" style="9" customWidth="1"/>
    <col min="9" max="9" width="3.21875" style="9" customWidth="1"/>
    <col min="10" max="10" width="37" style="9" customWidth="1"/>
    <col min="11" max="16384" width="9.21875" style="9"/>
  </cols>
  <sheetData>
    <row r="1" spans="1:8" x14ac:dyDescent="0.25">
      <c r="A1" s="103" t="s">
        <v>5</v>
      </c>
      <c r="B1" s="103"/>
      <c r="C1" s="103"/>
      <c r="D1" s="103"/>
      <c r="E1" s="103"/>
      <c r="F1" s="103"/>
      <c r="G1" s="103"/>
      <c r="H1" s="103"/>
    </row>
    <row r="2" spans="1:8" x14ac:dyDescent="0.25">
      <c r="A2" s="103" t="s">
        <v>11</v>
      </c>
      <c r="B2" s="103"/>
      <c r="C2" s="103"/>
      <c r="D2" s="103"/>
      <c r="E2" s="103"/>
      <c r="F2" s="103"/>
      <c r="G2" s="103"/>
      <c r="H2" s="103"/>
    </row>
    <row r="3" spans="1:8" x14ac:dyDescent="0.25">
      <c r="A3" s="107" t="s">
        <v>28</v>
      </c>
      <c r="B3" s="107"/>
      <c r="C3" s="107"/>
      <c r="D3" s="107"/>
      <c r="E3" s="107"/>
      <c r="F3" s="107"/>
      <c r="G3" s="107"/>
      <c r="H3" s="107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34" t="s">
        <v>25</v>
      </c>
      <c r="B5" s="134"/>
      <c r="C5" s="134"/>
      <c r="D5" s="134"/>
      <c r="E5" s="134"/>
      <c r="F5" s="134"/>
      <c r="G5" s="134"/>
      <c r="H5" s="134"/>
    </row>
    <row r="6" spans="1:8" x14ac:dyDescent="0.25">
      <c r="A6" s="135" t="s">
        <v>1</v>
      </c>
      <c r="B6" s="135" t="s">
        <v>0</v>
      </c>
      <c r="C6" s="136" t="s">
        <v>17</v>
      </c>
      <c r="D6" s="138" t="s">
        <v>18</v>
      </c>
      <c r="E6" s="139" t="s">
        <v>23</v>
      </c>
      <c r="F6" s="140"/>
      <c r="G6" s="131" t="s">
        <v>8</v>
      </c>
      <c r="H6" s="131" t="s">
        <v>22</v>
      </c>
    </row>
    <row r="7" spans="1:8" x14ac:dyDescent="0.25">
      <c r="A7" s="135"/>
      <c r="B7" s="135"/>
      <c r="C7" s="137"/>
      <c r="D7" s="138"/>
      <c r="E7" s="11" t="s">
        <v>6</v>
      </c>
      <c r="F7" s="11" t="s">
        <v>20</v>
      </c>
      <c r="G7" s="131"/>
      <c r="H7" s="131"/>
    </row>
    <row r="8" spans="1:8" x14ac:dyDescent="0.25">
      <c r="A8" s="11">
        <v>1</v>
      </c>
      <c r="B8" s="12" t="s">
        <v>13</v>
      </c>
      <c r="C8" s="11">
        <f t="shared" ref="C8:D10" si="0">C19</f>
        <v>41</v>
      </c>
      <c r="D8" s="11">
        <f t="shared" si="0"/>
        <v>109</v>
      </c>
      <c r="E8" s="16">
        <f>300000</f>
        <v>300000</v>
      </c>
      <c r="F8" s="16">
        <f t="shared" ref="F8:F10" si="1">300000</f>
        <v>300000</v>
      </c>
      <c r="G8" s="16">
        <f>C8*E8</f>
        <v>12300000</v>
      </c>
      <c r="H8" s="16">
        <f>D8*F8</f>
        <v>32700000</v>
      </c>
    </row>
    <row r="9" spans="1:8" x14ac:dyDescent="0.25">
      <c r="A9" s="11">
        <v>2</v>
      </c>
      <c r="B9" s="12" t="s">
        <v>14</v>
      </c>
      <c r="C9" s="11">
        <f t="shared" si="0"/>
        <v>53</v>
      </c>
      <c r="D9" s="11">
        <f t="shared" si="0"/>
        <v>191</v>
      </c>
      <c r="E9" s="16">
        <f t="shared" ref="E9:E10" si="2">300000</f>
        <v>300000</v>
      </c>
      <c r="F9" s="16">
        <f t="shared" si="1"/>
        <v>300000</v>
      </c>
      <c r="G9" s="16">
        <f>C9*E9</f>
        <v>15900000</v>
      </c>
      <c r="H9" s="16">
        <f t="shared" ref="H9:H11" si="3">D9*F9</f>
        <v>57300000</v>
      </c>
    </row>
    <row r="10" spans="1:8" x14ac:dyDescent="0.25">
      <c r="A10" s="11">
        <v>3</v>
      </c>
      <c r="B10" s="12" t="s">
        <v>15</v>
      </c>
      <c r="C10" s="11">
        <f t="shared" si="0"/>
        <v>21</v>
      </c>
      <c r="D10" s="11">
        <f t="shared" si="0"/>
        <v>68</v>
      </c>
      <c r="E10" s="16">
        <f t="shared" si="2"/>
        <v>300000</v>
      </c>
      <c r="F10" s="16">
        <f t="shared" si="1"/>
        <v>300000</v>
      </c>
      <c r="G10" s="16">
        <f>C10*E10</f>
        <v>6300000</v>
      </c>
      <c r="H10" s="16">
        <f t="shared" si="3"/>
        <v>20400000</v>
      </c>
    </row>
    <row r="11" spans="1:8" x14ac:dyDescent="0.25">
      <c r="A11" s="11">
        <v>4</v>
      </c>
      <c r="B11" s="11"/>
      <c r="C11" s="11"/>
      <c r="D11" s="11"/>
      <c r="E11" s="16"/>
      <c r="F11" s="16"/>
      <c r="G11" s="16">
        <f>C11*E11</f>
        <v>0</v>
      </c>
      <c r="H11" s="16">
        <f t="shared" si="3"/>
        <v>0</v>
      </c>
    </row>
    <row r="12" spans="1:8" x14ac:dyDescent="0.25">
      <c r="A12" s="132" t="s">
        <v>9</v>
      </c>
      <c r="B12" s="132"/>
      <c r="C12" s="132"/>
      <c r="D12" s="132"/>
      <c r="E12" s="132"/>
      <c r="F12" s="132"/>
      <c r="G12" s="17">
        <f>SUM(G8:G11)</f>
        <v>34500000</v>
      </c>
      <c r="H12" s="17">
        <f>SUM(H8:H11)</f>
        <v>110400000</v>
      </c>
    </row>
    <row r="13" spans="1:8" x14ac:dyDescent="0.25">
      <c r="A13" s="133" t="s">
        <v>7</v>
      </c>
      <c r="B13" s="133"/>
      <c r="C13" s="133"/>
      <c r="D13" s="133"/>
      <c r="E13" s="133"/>
      <c r="F13" s="133"/>
      <c r="G13" s="18"/>
      <c r="H13" s="18">
        <f>SUM(G12:H12)</f>
        <v>144900000</v>
      </c>
    </row>
    <row r="14" spans="1:8" x14ac:dyDescent="0.25">
      <c r="A14" s="115" t="s">
        <v>198</v>
      </c>
      <c r="B14" s="115"/>
      <c r="C14" s="115"/>
      <c r="D14" s="115"/>
      <c r="E14" s="115"/>
      <c r="F14" s="115"/>
      <c r="G14" s="18"/>
      <c r="H14" s="18">
        <f>H13/6</f>
        <v>24150000</v>
      </c>
    </row>
    <row r="15" spans="1:8" x14ac:dyDescent="0.25">
      <c r="A15" s="8"/>
      <c r="B15" s="8"/>
      <c r="C15" s="8"/>
      <c r="D15" s="8"/>
      <c r="E15" s="8"/>
      <c r="F15" s="8"/>
      <c r="G15" s="8"/>
      <c r="H15" s="8"/>
    </row>
    <row r="16" spans="1:8" x14ac:dyDescent="0.25">
      <c r="A16" s="134" t="s">
        <v>24</v>
      </c>
      <c r="B16" s="134"/>
      <c r="C16" s="134"/>
      <c r="D16" s="134"/>
      <c r="E16" s="134"/>
      <c r="F16" s="134"/>
      <c r="G16" s="134"/>
      <c r="H16" s="134"/>
    </row>
    <row r="17" spans="1:13" ht="14.25" customHeight="1" x14ac:dyDescent="0.25">
      <c r="A17" s="135" t="s">
        <v>1</v>
      </c>
      <c r="B17" s="135" t="s">
        <v>0</v>
      </c>
      <c r="C17" s="136" t="s">
        <v>17</v>
      </c>
      <c r="D17" s="138" t="s">
        <v>18</v>
      </c>
      <c r="E17" s="141" t="s">
        <v>19</v>
      </c>
      <c r="F17" s="142"/>
      <c r="G17" s="131" t="s">
        <v>8</v>
      </c>
      <c r="H17" s="131" t="s">
        <v>22</v>
      </c>
      <c r="J17" s="19" t="s">
        <v>10</v>
      </c>
    </row>
    <row r="18" spans="1:13" ht="15" customHeight="1" x14ac:dyDescent="0.25">
      <c r="A18" s="135"/>
      <c r="B18" s="135"/>
      <c r="C18" s="137"/>
      <c r="D18" s="138"/>
      <c r="E18" s="11" t="s">
        <v>6</v>
      </c>
      <c r="F18" s="11" t="s">
        <v>20</v>
      </c>
      <c r="G18" s="131"/>
      <c r="H18" s="131"/>
      <c r="J18" s="20">
        <f>SUM(G24+G13+G35+G46)</f>
        <v>0</v>
      </c>
      <c r="M18" s="9" t="s">
        <v>4</v>
      </c>
    </row>
    <row r="19" spans="1:13" x14ac:dyDescent="0.25">
      <c r="A19" s="11">
        <v>1</v>
      </c>
      <c r="B19" s="12" t="s">
        <v>13</v>
      </c>
      <c r="C19" s="11">
        <f>[2]MHSW!G7</f>
        <v>41</v>
      </c>
      <c r="D19" s="11">
        <f>SUM([2]MHSW!C7:F7)</f>
        <v>109</v>
      </c>
      <c r="E19" s="16">
        <f>300000*6</f>
        <v>1800000</v>
      </c>
      <c r="F19" s="16">
        <f>300000*6</f>
        <v>1800000</v>
      </c>
      <c r="G19" s="16">
        <f>C19*E19</f>
        <v>73800000</v>
      </c>
      <c r="H19" s="16">
        <f>D19*F19</f>
        <v>196200000</v>
      </c>
    </row>
    <row r="20" spans="1:13" x14ac:dyDescent="0.25">
      <c r="A20" s="11">
        <v>2</v>
      </c>
      <c r="B20" s="12" t="s">
        <v>14</v>
      </c>
      <c r="C20" s="11">
        <f>[2]MHSW!G8</f>
        <v>53</v>
      </c>
      <c r="D20" s="11">
        <f>SUM([2]MHSW!C8:F8)</f>
        <v>191</v>
      </c>
      <c r="E20" s="16">
        <f>350000*6</f>
        <v>2100000</v>
      </c>
      <c r="F20" s="16">
        <f>350000*6</f>
        <v>2100000</v>
      </c>
      <c r="G20" s="16">
        <f>C20*E20</f>
        <v>111300000</v>
      </c>
      <c r="H20" s="16">
        <f t="shared" ref="H20:H22" si="4">D20*F20</f>
        <v>401100000</v>
      </c>
    </row>
    <row r="21" spans="1:13" x14ac:dyDescent="0.25">
      <c r="A21" s="11">
        <v>3</v>
      </c>
      <c r="B21" s="12" t="s">
        <v>15</v>
      </c>
      <c r="C21" s="11">
        <f>[2]MHSW!G9</f>
        <v>21</v>
      </c>
      <c r="D21" s="11">
        <f>SUM([2]MHSW!C9:F9)</f>
        <v>68</v>
      </c>
      <c r="E21" s="16">
        <f>300000*6</f>
        <v>1800000</v>
      </c>
      <c r="F21" s="16">
        <f>300000*6</f>
        <v>1800000</v>
      </c>
      <c r="G21" s="16">
        <f>C21*E21</f>
        <v>37800000</v>
      </c>
      <c r="H21" s="16">
        <f t="shared" si="4"/>
        <v>122400000</v>
      </c>
    </row>
    <row r="22" spans="1:13" x14ac:dyDescent="0.25">
      <c r="A22" s="11">
        <v>4</v>
      </c>
      <c r="B22" s="11"/>
      <c r="C22" s="11"/>
      <c r="D22" s="11"/>
      <c r="E22" s="16"/>
      <c r="F22" s="16"/>
      <c r="G22" s="16">
        <f>C22*E22</f>
        <v>0</v>
      </c>
      <c r="H22" s="16">
        <f t="shared" si="4"/>
        <v>0</v>
      </c>
    </row>
    <row r="23" spans="1:13" x14ac:dyDescent="0.25">
      <c r="A23" s="132" t="s">
        <v>21</v>
      </c>
      <c r="B23" s="132"/>
      <c r="C23" s="132"/>
      <c r="D23" s="132"/>
      <c r="E23" s="132"/>
      <c r="F23" s="132"/>
      <c r="G23" s="17">
        <f>SUM(G19:G22)</f>
        <v>222900000</v>
      </c>
      <c r="H23" s="17">
        <f>SUM(H19:H22)</f>
        <v>719700000</v>
      </c>
    </row>
    <row r="24" spans="1:13" x14ac:dyDescent="0.25">
      <c r="A24" s="133" t="s">
        <v>7</v>
      </c>
      <c r="B24" s="133"/>
      <c r="C24" s="133"/>
      <c r="D24" s="133"/>
      <c r="E24" s="133"/>
      <c r="F24" s="133"/>
      <c r="G24" s="18"/>
      <c r="H24" s="18">
        <f>SUM(G23+H23)</f>
        <v>942600000</v>
      </c>
      <c r="L24" s="9">
        <f>SUM(D19:D22)</f>
        <v>368</v>
      </c>
    </row>
    <row r="25" spans="1:13" x14ac:dyDescent="0.25">
      <c r="A25" s="115" t="s">
        <v>198</v>
      </c>
      <c r="B25" s="115"/>
      <c r="C25" s="115"/>
      <c r="D25" s="115"/>
      <c r="E25" s="115"/>
      <c r="F25" s="115"/>
      <c r="G25" s="18"/>
      <c r="H25" s="18">
        <f>H24/6</f>
        <v>157100000</v>
      </c>
    </row>
    <row r="26" spans="1:13" x14ac:dyDescent="0.25">
      <c r="A26" s="21"/>
      <c r="B26" s="21"/>
      <c r="C26" s="21"/>
      <c r="D26" s="21"/>
      <c r="E26" s="21"/>
      <c r="F26" s="21"/>
      <c r="G26" s="22"/>
      <c r="H26" s="22"/>
    </row>
    <row r="27" spans="1:13" x14ac:dyDescent="0.25">
      <c r="A27" s="134" t="s">
        <v>26</v>
      </c>
      <c r="B27" s="134"/>
      <c r="C27" s="134"/>
      <c r="D27" s="134"/>
      <c r="E27" s="134"/>
      <c r="F27" s="134"/>
      <c r="G27" s="134"/>
      <c r="H27" s="134"/>
    </row>
    <row r="28" spans="1:13" x14ac:dyDescent="0.25">
      <c r="A28" s="135" t="s">
        <v>1</v>
      </c>
      <c r="B28" s="135" t="s">
        <v>0</v>
      </c>
      <c r="C28" s="136" t="s">
        <v>17</v>
      </c>
      <c r="D28" s="138" t="s">
        <v>18</v>
      </c>
      <c r="E28" s="139" t="s">
        <v>26</v>
      </c>
      <c r="F28" s="140"/>
      <c r="G28" s="131" t="s">
        <v>8</v>
      </c>
      <c r="H28" s="131" t="s">
        <v>22</v>
      </c>
    </row>
    <row r="29" spans="1:13" x14ac:dyDescent="0.25">
      <c r="A29" s="135"/>
      <c r="B29" s="135"/>
      <c r="C29" s="137"/>
      <c r="D29" s="138"/>
      <c r="E29" s="11" t="s">
        <v>6</v>
      </c>
      <c r="F29" s="11" t="s">
        <v>20</v>
      </c>
      <c r="G29" s="131"/>
      <c r="H29" s="131"/>
    </row>
    <row r="30" spans="1:13" x14ac:dyDescent="0.25">
      <c r="A30" s="11">
        <v>1</v>
      </c>
      <c r="B30" s="12" t="s">
        <v>13</v>
      </c>
      <c r="C30" s="11">
        <f t="shared" ref="C30:D32" si="5">C8</f>
        <v>41</v>
      </c>
      <c r="D30" s="11">
        <f t="shared" si="5"/>
        <v>109</v>
      </c>
      <c r="E30" s="16">
        <f>300000</f>
        <v>300000</v>
      </c>
      <c r="F30" s="16">
        <f t="shared" ref="F30:F32" si="6">300000</f>
        <v>300000</v>
      </c>
      <c r="G30" s="16">
        <f>C30*E30</f>
        <v>12300000</v>
      </c>
      <c r="H30" s="16">
        <f>D30*F30</f>
        <v>32700000</v>
      </c>
    </row>
    <row r="31" spans="1:13" x14ac:dyDescent="0.25">
      <c r="A31" s="11">
        <v>2</v>
      </c>
      <c r="B31" s="12" t="s">
        <v>14</v>
      </c>
      <c r="C31" s="11">
        <f t="shared" si="5"/>
        <v>53</v>
      </c>
      <c r="D31" s="11">
        <f t="shared" si="5"/>
        <v>191</v>
      </c>
      <c r="E31" s="16">
        <f t="shared" ref="E31:E32" si="7">300000</f>
        <v>300000</v>
      </c>
      <c r="F31" s="16">
        <f t="shared" si="6"/>
        <v>300000</v>
      </c>
      <c r="G31" s="16">
        <f>C31*E31</f>
        <v>15900000</v>
      </c>
      <c r="H31" s="16">
        <f t="shared" ref="H31:H33" si="8">D31*F31</f>
        <v>57300000</v>
      </c>
    </row>
    <row r="32" spans="1:13" x14ac:dyDescent="0.25">
      <c r="A32" s="11">
        <v>3</v>
      </c>
      <c r="B32" s="12" t="s">
        <v>15</v>
      </c>
      <c r="C32" s="11">
        <f t="shared" si="5"/>
        <v>21</v>
      </c>
      <c r="D32" s="11">
        <f t="shared" si="5"/>
        <v>68</v>
      </c>
      <c r="E32" s="16">
        <f t="shared" si="7"/>
        <v>300000</v>
      </c>
      <c r="F32" s="16">
        <f t="shared" si="6"/>
        <v>300000</v>
      </c>
      <c r="G32" s="16">
        <f>C32*E32</f>
        <v>6300000</v>
      </c>
      <c r="H32" s="16">
        <f t="shared" si="8"/>
        <v>20400000</v>
      </c>
    </row>
    <row r="33" spans="1:8" x14ac:dyDescent="0.25">
      <c r="A33" s="11">
        <v>4</v>
      </c>
      <c r="B33" s="11"/>
      <c r="C33" s="11"/>
      <c r="D33" s="11"/>
      <c r="E33" s="16"/>
      <c r="F33" s="16"/>
      <c r="G33" s="16">
        <f>C33*E33</f>
        <v>0</v>
      </c>
      <c r="H33" s="16">
        <f t="shared" si="8"/>
        <v>0</v>
      </c>
    </row>
    <row r="34" spans="1:8" x14ac:dyDescent="0.25">
      <c r="A34" s="132" t="s">
        <v>9</v>
      </c>
      <c r="B34" s="132"/>
      <c r="C34" s="132"/>
      <c r="D34" s="132"/>
      <c r="E34" s="132"/>
      <c r="F34" s="132"/>
      <c r="G34" s="17">
        <f>SUM(G30:G33)</f>
        <v>34500000</v>
      </c>
      <c r="H34" s="17">
        <f>SUM(H30:H33)</f>
        <v>110400000</v>
      </c>
    </row>
    <row r="35" spans="1:8" x14ac:dyDescent="0.25">
      <c r="A35" s="133" t="s">
        <v>7</v>
      </c>
      <c r="B35" s="133"/>
      <c r="C35" s="133"/>
      <c r="D35" s="133"/>
      <c r="E35" s="133"/>
      <c r="F35" s="133"/>
      <c r="G35" s="18"/>
      <c r="H35" s="18">
        <f>SUM(G34:H34)</f>
        <v>144900000</v>
      </c>
    </row>
    <row r="36" spans="1:8" x14ac:dyDescent="0.25">
      <c r="A36" s="115" t="s">
        <v>198</v>
      </c>
      <c r="B36" s="115"/>
      <c r="C36" s="115"/>
      <c r="D36" s="115"/>
      <c r="E36" s="115"/>
      <c r="F36" s="115"/>
      <c r="G36" s="18"/>
      <c r="H36" s="18">
        <f>H35/6</f>
        <v>24150000</v>
      </c>
    </row>
    <row r="38" spans="1:8" x14ac:dyDescent="0.25">
      <c r="A38" s="134" t="s">
        <v>27</v>
      </c>
      <c r="B38" s="134"/>
      <c r="C38" s="134"/>
      <c r="D38" s="134"/>
      <c r="E38" s="134"/>
      <c r="F38" s="134"/>
      <c r="G38" s="134"/>
      <c r="H38" s="134"/>
    </row>
    <row r="39" spans="1:8" x14ac:dyDescent="0.25">
      <c r="A39" s="135" t="s">
        <v>1</v>
      </c>
      <c r="B39" s="135" t="s">
        <v>0</v>
      </c>
      <c r="C39" s="136" t="s">
        <v>17</v>
      </c>
      <c r="D39" s="138" t="s">
        <v>18</v>
      </c>
      <c r="E39" s="139" t="s">
        <v>27</v>
      </c>
      <c r="F39" s="140"/>
      <c r="G39" s="131" t="s">
        <v>8</v>
      </c>
      <c r="H39" s="131" t="s">
        <v>22</v>
      </c>
    </row>
    <row r="40" spans="1:8" x14ac:dyDescent="0.25">
      <c r="A40" s="135"/>
      <c r="B40" s="135"/>
      <c r="C40" s="137"/>
      <c r="D40" s="138"/>
      <c r="E40" s="11" t="s">
        <v>6</v>
      </c>
      <c r="F40" s="11" t="s">
        <v>20</v>
      </c>
      <c r="G40" s="131"/>
      <c r="H40" s="131"/>
    </row>
    <row r="41" spans="1:8" x14ac:dyDescent="0.25">
      <c r="A41" s="11">
        <v>1</v>
      </c>
      <c r="B41" s="12" t="s">
        <v>13</v>
      </c>
      <c r="C41" s="11">
        <f>C30</f>
        <v>41</v>
      </c>
      <c r="D41" s="11">
        <f>D30-D63</f>
        <v>60</v>
      </c>
      <c r="E41" s="16">
        <f>300000</f>
        <v>300000</v>
      </c>
      <c r="F41" s="16">
        <f t="shared" ref="F41:F43" si="9">300000</f>
        <v>300000</v>
      </c>
      <c r="G41" s="16">
        <f>C41*E41</f>
        <v>12300000</v>
      </c>
      <c r="H41" s="16">
        <f>D41*F41</f>
        <v>18000000</v>
      </c>
    </row>
    <row r="42" spans="1:8" x14ac:dyDescent="0.25">
      <c r="A42" s="11">
        <v>2</v>
      </c>
      <c r="B42" s="12" t="s">
        <v>14</v>
      </c>
      <c r="C42" s="11">
        <f>C31</f>
        <v>53</v>
      </c>
      <c r="D42" s="11">
        <f>D31-D64</f>
        <v>136</v>
      </c>
      <c r="E42" s="16">
        <f t="shared" ref="E42:E43" si="10">300000</f>
        <v>300000</v>
      </c>
      <c r="F42" s="16">
        <f t="shared" si="9"/>
        <v>300000</v>
      </c>
      <c r="G42" s="16">
        <f>C42*E42</f>
        <v>15900000</v>
      </c>
      <c r="H42" s="16">
        <f t="shared" ref="H42:H44" si="11">D42*F42</f>
        <v>40800000</v>
      </c>
    </row>
    <row r="43" spans="1:8" x14ac:dyDescent="0.25">
      <c r="A43" s="11">
        <v>3</v>
      </c>
      <c r="B43" s="12" t="s">
        <v>15</v>
      </c>
      <c r="C43" s="11">
        <f>C32</f>
        <v>21</v>
      </c>
      <c r="D43" s="11">
        <f>D32-D65</f>
        <v>51</v>
      </c>
      <c r="E43" s="16">
        <f t="shared" si="10"/>
        <v>300000</v>
      </c>
      <c r="F43" s="16">
        <f t="shared" si="9"/>
        <v>300000</v>
      </c>
      <c r="G43" s="16">
        <f>C43*E43</f>
        <v>6300000</v>
      </c>
      <c r="H43" s="16">
        <f t="shared" si="11"/>
        <v>15300000</v>
      </c>
    </row>
    <row r="44" spans="1:8" x14ac:dyDescent="0.25">
      <c r="A44" s="11">
        <v>4</v>
      </c>
      <c r="B44" s="11"/>
      <c r="C44" s="11"/>
      <c r="D44" s="11"/>
      <c r="E44" s="16"/>
      <c r="F44" s="16"/>
      <c r="G44" s="16">
        <f>C44*E44</f>
        <v>0</v>
      </c>
      <c r="H44" s="16">
        <f t="shared" si="11"/>
        <v>0</v>
      </c>
    </row>
    <row r="45" spans="1:8" x14ac:dyDescent="0.25">
      <c r="A45" s="132" t="s">
        <v>9</v>
      </c>
      <c r="B45" s="132"/>
      <c r="C45" s="132"/>
      <c r="D45" s="132"/>
      <c r="E45" s="132"/>
      <c r="F45" s="132"/>
      <c r="G45" s="17">
        <f>SUM(G41:G44)</f>
        <v>34500000</v>
      </c>
      <c r="H45" s="17">
        <f>SUM(H41:H44)</f>
        <v>74100000</v>
      </c>
    </row>
    <row r="46" spans="1:8" x14ac:dyDescent="0.25">
      <c r="A46" s="133" t="s">
        <v>7</v>
      </c>
      <c r="B46" s="133"/>
      <c r="C46" s="133"/>
      <c r="D46" s="133"/>
      <c r="E46" s="133"/>
      <c r="F46" s="133"/>
      <c r="G46" s="18"/>
      <c r="H46" s="18">
        <f>SUM(G45+H45)</f>
        <v>108600000</v>
      </c>
    </row>
    <row r="47" spans="1:8" x14ac:dyDescent="0.25">
      <c r="A47" s="115" t="s">
        <v>198</v>
      </c>
      <c r="B47" s="115"/>
      <c r="C47" s="115"/>
      <c r="D47" s="115"/>
      <c r="E47" s="115"/>
      <c r="F47" s="115"/>
      <c r="G47" s="18"/>
      <c r="H47" s="18">
        <f>H46/6</f>
        <v>18100000</v>
      </c>
    </row>
    <row r="49" spans="1:8" ht="13.95" customHeight="1" x14ac:dyDescent="0.25">
      <c r="A49" s="134" t="s">
        <v>29</v>
      </c>
      <c r="B49" s="134"/>
      <c r="C49" s="134"/>
      <c r="D49" s="134"/>
      <c r="E49" s="134"/>
      <c r="F49" s="134"/>
      <c r="G49" s="134"/>
      <c r="H49" s="134"/>
    </row>
    <row r="50" spans="1:8" x14ac:dyDescent="0.25">
      <c r="A50" s="135" t="s">
        <v>1</v>
      </c>
      <c r="B50" s="135" t="s">
        <v>0</v>
      </c>
      <c r="C50" s="136" t="s">
        <v>17</v>
      </c>
      <c r="D50" s="138" t="s">
        <v>18</v>
      </c>
      <c r="E50" s="139" t="s">
        <v>29</v>
      </c>
      <c r="F50" s="140"/>
      <c r="G50" s="131" t="s">
        <v>8</v>
      </c>
      <c r="H50" s="131" t="s">
        <v>30</v>
      </c>
    </row>
    <row r="51" spans="1:8" x14ac:dyDescent="0.25">
      <c r="A51" s="135"/>
      <c r="B51" s="135"/>
      <c r="C51" s="137"/>
      <c r="D51" s="138"/>
      <c r="E51" s="11"/>
      <c r="F51" s="11" t="s">
        <v>31</v>
      </c>
      <c r="G51" s="131"/>
      <c r="H51" s="131"/>
    </row>
    <row r="52" spans="1:8" x14ac:dyDescent="0.25">
      <c r="A52" s="11">
        <v>1</v>
      </c>
      <c r="B52" s="12" t="s">
        <v>13</v>
      </c>
      <c r="C52" s="11"/>
      <c r="D52" s="11">
        <f>[3]MHSW!E7</f>
        <v>34</v>
      </c>
      <c r="E52" s="16"/>
      <c r="F52" s="16">
        <f>750000</f>
        <v>750000</v>
      </c>
      <c r="G52" s="16">
        <f>C52*E52</f>
        <v>0</v>
      </c>
      <c r="H52" s="16">
        <f>D52*F52</f>
        <v>25500000</v>
      </c>
    </row>
    <row r="53" spans="1:8" x14ac:dyDescent="0.25">
      <c r="A53" s="11">
        <v>2</v>
      </c>
      <c r="B53" s="12" t="s">
        <v>14</v>
      </c>
      <c r="C53" s="11"/>
      <c r="D53" s="11">
        <f>[3]MHSW!E8</f>
        <v>60</v>
      </c>
      <c r="E53" s="16"/>
      <c r="F53" s="16">
        <f t="shared" ref="F53:F54" si="12">750000</f>
        <v>750000</v>
      </c>
      <c r="G53" s="16">
        <f>C53*E53</f>
        <v>0</v>
      </c>
      <c r="H53" s="16">
        <f t="shared" ref="H53:H55" si="13">D53*F53</f>
        <v>45000000</v>
      </c>
    </row>
    <row r="54" spans="1:8" x14ac:dyDescent="0.25">
      <c r="A54" s="11">
        <v>3</v>
      </c>
      <c r="B54" s="12" t="s">
        <v>15</v>
      </c>
      <c r="C54" s="11"/>
      <c r="D54" s="11">
        <f>[3]MHSW!E9</f>
        <v>20</v>
      </c>
      <c r="E54" s="16"/>
      <c r="F54" s="16">
        <f t="shared" si="12"/>
        <v>750000</v>
      </c>
      <c r="G54" s="16">
        <f>C54*E54</f>
        <v>0</v>
      </c>
      <c r="H54" s="16">
        <f t="shared" si="13"/>
        <v>15000000</v>
      </c>
    </row>
    <row r="55" spans="1:8" x14ac:dyDescent="0.25">
      <c r="A55" s="11">
        <v>4</v>
      </c>
      <c r="B55" s="11"/>
      <c r="C55" s="11"/>
      <c r="D55" s="11"/>
      <c r="E55" s="16"/>
      <c r="F55" s="16"/>
      <c r="G55" s="16">
        <f>C55*E55</f>
        <v>0</v>
      </c>
      <c r="H55" s="16">
        <f t="shared" si="13"/>
        <v>0</v>
      </c>
    </row>
    <row r="56" spans="1:8" x14ac:dyDescent="0.25">
      <c r="A56" s="132" t="s">
        <v>9</v>
      </c>
      <c r="B56" s="132"/>
      <c r="C56" s="132"/>
      <c r="D56" s="132"/>
      <c r="E56" s="132"/>
      <c r="F56" s="132"/>
      <c r="G56" s="17">
        <f>SUM(G52:G55)</f>
        <v>0</v>
      </c>
      <c r="H56" s="17">
        <f>SUM(H52:H55)</f>
        <v>85500000</v>
      </c>
    </row>
    <row r="57" spans="1:8" x14ac:dyDescent="0.25">
      <c r="A57" s="133" t="s">
        <v>7</v>
      </c>
      <c r="B57" s="133"/>
      <c r="C57" s="133"/>
      <c r="D57" s="133"/>
      <c r="E57" s="133"/>
      <c r="F57" s="133"/>
      <c r="G57" s="18"/>
      <c r="H57" s="18">
        <f>SUM(G56+H56)</f>
        <v>85500000</v>
      </c>
    </row>
    <row r="58" spans="1:8" x14ac:dyDescent="0.25">
      <c r="A58" s="115" t="s">
        <v>198</v>
      </c>
      <c r="B58" s="115"/>
      <c r="C58" s="115"/>
      <c r="D58" s="115"/>
      <c r="E58" s="115"/>
      <c r="F58" s="115"/>
      <c r="G58" s="18"/>
      <c r="H58" s="18">
        <f>H57/6</f>
        <v>14250000</v>
      </c>
    </row>
    <row r="60" spans="1:8" x14ac:dyDescent="0.25">
      <c r="A60" s="134" t="s">
        <v>32</v>
      </c>
      <c r="B60" s="134"/>
      <c r="C60" s="134"/>
      <c r="D60" s="134"/>
      <c r="E60" s="134"/>
      <c r="F60" s="134"/>
      <c r="G60" s="134"/>
      <c r="H60" s="134"/>
    </row>
    <row r="61" spans="1:8" ht="13.95" customHeight="1" x14ac:dyDescent="0.25">
      <c r="A61" s="135" t="s">
        <v>1</v>
      </c>
      <c r="B61" s="135" t="s">
        <v>0</v>
      </c>
      <c r="C61" s="136" t="s">
        <v>17</v>
      </c>
      <c r="D61" s="138" t="s">
        <v>18</v>
      </c>
      <c r="E61" s="139" t="s">
        <v>32</v>
      </c>
      <c r="F61" s="140"/>
      <c r="G61" s="131" t="s">
        <v>8</v>
      </c>
      <c r="H61" s="131" t="s">
        <v>30</v>
      </c>
    </row>
    <row r="62" spans="1:8" x14ac:dyDescent="0.25">
      <c r="A62" s="135"/>
      <c r="B62" s="135"/>
      <c r="C62" s="137"/>
      <c r="D62" s="138"/>
      <c r="E62" s="11"/>
      <c r="F62" s="11" t="s">
        <v>33</v>
      </c>
      <c r="G62" s="131"/>
      <c r="H62" s="131"/>
    </row>
    <row r="63" spans="1:8" x14ac:dyDescent="0.25">
      <c r="A63" s="11">
        <v>1</v>
      </c>
      <c r="B63" s="12" t="s">
        <v>13</v>
      </c>
      <c r="C63" s="11"/>
      <c r="D63" s="11">
        <f>[3]MHSW!D7</f>
        <v>49</v>
      </c>
      <c r="E63" s="16"/>
      <c r="F63" s="16">
        <v>1600000</v>
      </c>
      <c r="G63" s="16">
        <f>C63*E63</f>
        <v>0</v>
      </c>
      <c r="H63" s="16">
        <f>D63*F63</f>
        <v>78400000</v>
      </c>
    </row>
    <row r="64" spans="1:8" x14ac:dyDescent="0.25">
      <c r="A64" s="11">
        <v>2</v>
      </c>
      <c r="B64" s="12" t="s">
        <v>14</v>
      </c>
      <c r="C64" s="11"/>
      <c r="D64" s="11">
        <f>[3]MHSW!D8</f>
        <v>55</v>
      </c>
      <c r="E64" s="16"/>
      <c r="F64" s="16">
        <v>1600000</v>
      </c>
      <c r="G64" s="16">
        <f>C64*E64</f>
        <v>0</v>
      </c>
      <c r="H64" s="16">
        <f t="shared" ref="H64:H66" si="14">D64*F64</f>
        <v>88000000</v>
      </c>
    </row>
    <row r="65" spans="1:8" x14ac:dyDescent="0.25">
      <c r="A65" s="11">
        <v>3</v>
      </c>
      <c r="B65" s="12" t="s">
        <v>15</v>
      </c>
      <c r="C65" s="11"/>
      <c r="D65" s="11">
        <f>[3]MHSW!D9</f>
        <v>17</v>
      </c>
      <c r="E65" s="16"/>
      <c r="F65" s="16">
        <v>1600000</v>
      </c>
      <c r="G65" s="16">
        <f>C65*E65</f>
        <v>0</v>
      </c>
      <c r="H65" s="16">
        <f t="shared" si="14"/>
        <v>27200000</v>
      </c>
    </row>
    <row r="66" spans="1:8" x14ac:dyDescent="0.25">
      <c r="A66" s="11">
        <v>4</v>
      </c>
      <c r="B66" s="11"/>
      <c r="C66" s="11"/>
      <c r="D66" s="11"/>
      <c r="E66" s="16"/>
      <c r="F66" s="16"/>
      <c r="G66" s="16">
        <f>C66*E66</f>
        <v>0</v>
      </c>
      <c r="H66" s="16">
        <f t="shared" si="14"/>
        <v>0</v>
      </c>
    </row>
    <row r="67" spans="1:8" x14ac:dyDescent="0.25">
      <c r="A67" s="132" t="s">
        <v>9</v>
      </c>
      <c r="B67" s="132"/>
      <c r="C67" s="132"/>
      <c r="D67" s="132"/>
      <c r="E67" s="132"/>
      <c r="F67" s="132"/>
      <c r="G67" s="17">
        <f>SUM(G63:G66)</f>
        <v>0</v>
      </c>
      <c r="H67" s="17">
        <f>SUM(H63:H66)</f>
        <v>193600000</v>
      </c>
    </row>
    <row r="68" spans="1:8" x14ac:dyDescent="0.25">
      <c r="A68" s="133" t="s">
        <v>7</v>
      </c>
      <c r="B68" s="133"/>
      <c r="C68" s="133"/>
      <c r="D68" s="133"/>
      <c r="E68" s="133"/>
      <c r="F68" s="133"/>
      <c r="G68" s="18"/>
      <c r="H68" s="18">
        <f>SUM(G67+H67)</f>
        <v>193600000</v>
      </c>
    </row>
    <row r="69" spans="1:8" x14ac:dyDescent="0.25">
      <c r="A69" s="115" t="s">
        <v>198</v>
      </c>
      <c r="B69" s="115"/>
      <c r="C69" s="115"/>
      <c r="D69" s="115"/>
      <c r="E69" s="115"/>
      <c r="F69" s="115"/>
      <c r="G69" s="18"/>
      <c r="H69" s="18">
        <f>H68/6</f>
        <v>32266666.666666668</v>
      </c>
    </row>
    <row r="71" spans="1:8" x14ac:dyDescent="0.25">
      <c r="A71" s="134" t="s">
        <v>34</v>
      </c>
      <c r="B71" s="134"/>
      <c r="C71" s="134"/>
      <c r="D71" s="134"/>
      <c r="E71" s="134"/>
      <c r="F71" s="134"/>
      <c r="G71" s="134"/>
      <c r="H71" s="134"/>
    </row>
    <row r="72" spans="1:8" x14ac:dyDescent="0.25">
      <c r="A72" s="135" t="s">
        <v>1</v>
      </c>
      <c r="B72" s="135" t="s">
        <v>0</v>
      </c>
      <c r="C72" s="136" t="s">
        <v>17</v>
      </c>
      <c r="D72" s="138" t="s">
        <v>18</v>
      </c>
      <c r="E72" s="139" t="s">
        <v>34</v>
      </c>
      <c r="F72" s="140"/>
      <c r="G72" s="131" t="s">
        <v>8</v>
      </c>
      <c r="H72" s="131" t="s">
        <v>35</v>
      </c>
    </row>
    <row r="73" spans="1:8" x14ac:dyDescent="0.25">
      <c r="A73" s="135"/>
      <c r="B73" s="135"/>
      <c r="C73" s="137"/>
      <c r="D73" s="138"/>
      <c r="E73" s="11"/>
      <c r="F73" s="11" t="s">
        <v>33</v>
      </c>
      <c r="G73" s="131"/>
      <c r="H73" s="131"/>
    </row>
    <row r="74" spans="1:8" x14ac:dyDescent="0.25">
      <c r="A74" s="11">
        <v>1</v>
      </c>
      <c r="B74" s="12" t="s">
        <v>13</v>
      </c>
      <c r="C74" s="11"/>
      <c r="D74" s="11">
        <f>D63</f>
        <v>49</v>
      </c>
      <c r="E74" s="16"/>
      <c r="F74" s="16">
        <v>750000</v>
      </c>
      <c r="G74" s="16">
        <f>C74*E74</f>
        <v>0</v>
      </c>
      <c r="H74" s="16">
        <f>D74*F74</f>
        <v>36750000</v>
      </c>
    </row>
    <row r="75" spans="1:8" x14ac:dyDescent="0.25">
      <c r="A75" s="11">
        <v>2</v>
      </c>
      <c r="B75" s="12" t="s">
        <v>14</v>
      </c>
      <c r="C75" s="11"/>
      <c r="D75" s="11">
        <f>D64</f>
        <v>55</v>
      </c>
      <c r="E75" s="16"/>
      <c r="F75" s="16">
        <v>750000</v>
      </c>
      <c r="G75" s="16">
        <f>C75*E75</f>
        <v>0</v>
      </c>
      <c r="H75" s="16">
        <f t="shared" ref="H75:H77" si="15">D75*F75</f>
        <v>41250000</v>
      </c>
    </row>
    <row r="76" spans="1:8" x14ac:dyDescent="0.25">
      <c r="A76" s="11">
        <v>3</v>
      </c>
      <c r="B76" s="12" t="s">
        <v>15</v>
      </c>
      <c r="C76" s="11"/>
      <c r="D76" s="11">
        <f>D65</f>
        <v>17</v>
      </c>
      <c r="E76" s="16"/>
      <c r="F76" s="16">
        <v>750000</v>
      </c>
      <c r="G76" s="16">
        <f>C76*E76</f>
        <v>0</v>
      </c>
      <c r="H76" s="16">
        <f t="shared" si="15"/>
        <v>12750000</v>
      </c>
    </row>
    <row r="77" spans="1:8" x14ac:dyDescent="0.25">
      <c r="A77" s="11">
        <v>4</v>
      </c>
      <c r="B77" s="11"/>
      <c r="C77" s="11"/>
      <c r="D77" s="11"/>
      <c r="E77" s="16"/>
      <c r="F77" s="16"/>
      <c r="G77" s="16">
        <f>C77*E77</f>
        <v>0</v>
      </c>
      <c r="H77" s="16">
        <f t="shared" si="15"/>
        <v>0</v>
      </c>
    </row>
    <row r="78" spans="1:8" x14ac:dyDescent="0.25">
      <c r="A78" s="132" t="s">
        <v>9</v>
      </c>
      <c r="B78" s="132"/>
      <c r="C78" s="132"/>
      <c r="D78" s="132"/>
      <c r="E78" s="132"/>
      <c r="F78" s="132"/>
      <c r="G78" s="17">
        <f>SUM(G74:G77)</f>
        <v>0</v>
      </c>
      <c r="H78" s="17">
        <f>SUM(H74:H77)</f>
        <v>90750000</v>
      </c>
    </row>
    <row r="79" spans="1:8" x14ac:dyDescent="0.25">
      <c r="A79" s="133" t="s">
        <v>7</v>
      </c>
      <c r="B79" s="133"/>
      <c r="C79" s="133"/>
      <c r="D79" s="133"/>
      <c r="E79" s="133"/>
      <c r="F79" s="133"/>
      <c r="G79" s="18"/>
      <c r="H79" s="18">
        <f>SUM(G78+H78)</f>
        <v>90750000</v>
      </c>
    </row>
    <row r="80" spans="1:8" x14ac:dyDescent="0.25">
      <c r="A80" s="115" t="s">
        <v>198</v>
      </c>
      <c r="B80" s="115"/>
      <c r="C80" s="115"/>
      <c r="D80" s="115"/>
      <c r="E80" s="115"/>
      <c r="F80" s="115"/>
      <c r="G80" s="18"/>
      <c r="H80" s="18">
        <f>H79/6</f>
        <v>15125000</v>
      </c>
    </row>
    <row r="81" spans="1:8" x14ac:dyDescent="0.25">
      <c r="A81" s="21"/>
      <c r="B81" s="21"/>
      <c r="C81" s="21"/>
      <c r="D81" s="21"/>
      <c r="E81" s="21"/>
      <c r="F81" s="21"/>
      <c r="G81" s="23"/>
      <c r="H81" s="23"/>
    </row>
    <row r="82" spans="1:8" x14ac:dyDescent="0.25">
      <c r="A82" s="134" t="s">
        <v>36</v>
      </c>
      <c r="B82" s="134"/>
      <c r="C82" s="134"/>
      <c r="D82" s="134"/>
      <c r="E82" s="134"/>
      <c r="F82" s="134"/>
      <c r="G82" s="134"/>
      <c r="H82" s="134"/>
    </row>
    <row r="83" spans="1:8" ht="13.95" customHeight="1" x14ac:dyDescent="0.25">
      <c r="A83" s="135" t="s">
        <v>1</v>
      </c>
      <c r="B83" s="135" t="s">
        <v>0</v>
      </c>
      <c r="C83" s="136" t="s">
        <v>17</v>
      </c>
      <c r="D83" s="138" t="s">
        <v>18</v>
      </c>
      <c r="E83" s="139" t="s">
        <v>36</v>
      </c>
      <c r="F83" s="140"/>
      <c r="G83" s="131" t="s">
        <v>8</v>
      </c>
      <c r="H83" s="131" t="s">
        <v>37</v>
      </c>
    </row>
    <row r="84" spans="1:8" x14ac:dyDescent="0.25">
      <c r="A84" s="135"/>
      <c r="B84" s="135"/>
      <c r="C84" s="137"/>
      <c r="D84" s="138"/>
      <c r="E84" s="11"/>
      <c r="F84" s="11" t="s">
        <v>33</v>
      </c>
      <c r="G84" s="131"/>
      <c r="H84" s="131"/>
    </row>
    <row r="85" spans="1:8" x14ac:dyDescent="0.25">
      <c r="A85" s="11">
        <v>1</v>
      </c>
      <c r="B85" s="12" t="s">
        <v>13</v>
      </c>
      <c r="C85" s="11"/>
      <c r="D85" s="11">
        <f>D63</f>
        <v>49</v>
      </c>
      <c r="E85" s="16"/>
      <c r="F85" s="16">
        <v>600000</v>
      </c>
      <c r="G85" s="16">
        <f>C85*E85</f>
        <v>0</v>
      </c>
      <c r="H85" s="16">
        <f>D85*F85</f>
        <v>29400000</v>
      </c>
    </row>
    <row r="86" spans="1:8" x14ac:dyDescent="0.25">
      <c r="A86" s="11">
        <v>2</v>
      </c>
      <c r="B86" s="12" t="s">
        <v>14</v>
      </c>
      <c r="C86" s="11"/>
      <c r="D86" s="11">
        <f>D64</f>
        <v>55</v>
      </c>
      <c r="E86" s="16"/>
      <c r="F86" s="16">
        <v>600000</v>
      </c>
      <c r="G86" s="16">
        <f>C86*E86</f>
        <v>0</v>
      </c>
      <c r="H86" s="16">
        <f t="shared" ref="H86:H88" si="16">D86*F86</f>
        <v>33000000</v>
      </c>
    </row>
    <row r="87" spans="1:8" x14ac:dyDescent="0.25">
      <c r="A87" s="11">
        <v>3</v>
      </c>
      <c r="B87" s="12" t="s">
        <v>15</v>
      </c>
      <c r="C87" s="11"/>
      <c r="D87" s="11">
        <f>D65</f>
        <v>17</v>
      </c>
      <c r="E87" s="16"/>
      <c r="F87" s="16">
        <v>600000</v>
      </c>
      <c r="G87" s="16">
        <f>C87*E87</f>
        <v>0</v>
      </c>
      <c r="H87" s="16">
        <f t="shared" si="16"/>
        <v>10200000</v>
      </c>
    </row>
    <row r="88" spans="1:8" x14ac:dyDescent="0.25">
      <c r="A88" s="11">
        <v>4</v>
      </c>
      <c r="B88" s="11"/>
      <c r="C88" s="11"/>
      <c r="D88" s="11"/>
      <c r="E88" s="16"/>
      <c r="F88" s="16"/>
      <c r="G88" s="16">
        <f>C88*E88</f>
        <v>0</v>
      </c>
      <c r="H88" s="16">
        <f t="shared" si="16"/>
        <v>0</v>
      </c>
    </row>
    <row r="89" spans="1:8" x14ac:dyDescent="0.25">
      <c r="A89" s="132" t="s">
        <v>9</v>
      </c>
      <c r="B89" s="132"/>
      <c r="C89" s="132"/>
      <c r="D89" s="132"/>
      <c r="E89" s="132"/>
      <c r="F89" s="132"/>
      <c r="G89" s="17">
        <f>SUM(G85:G88)</f>
        <v>0</v>
      </c>
      <c r="H89" s="17">
        <f>SUM(H85:H88)</f>
        <v>72600000</v>
      </c>
    </row>
    <row r="90" spans="1:8" x14ac:dyDescent="0.25">
      <c r="A90" s="133" t="s">
        <v>7</v>
      </c>
      <c r="B90" s="133"/>
      <c r="C90" s="133"/>
      <c r="D90" s="133"/>
      <c r="E90" s="133"/>
      <c r="F90" s="133"/>
      <c r="G90" s="18"/>
      <c r="H90" s="18">
        <f>SUM(G89+H89)</f>
        <v>72600000</v>
      </c>
    </row>
    <row r="91" spans="1:8" x14ac:dyDescent="0.25">
      <c r="A91" s="115" t="s">
        <v>198</v>
      </c>
      <c r="B91" s="115"/>
      <c r="C91" s="115"/>
      <c r="D91" s="115"/>
      <c r="E91" s="115"/>
      <c r="F91" s="115"/>
      <c r="G91" s="18"/>
      <c r="H91" s="18">
        <f>H90/6</f>
        <v>12100000</v>
      </c>
    </row>
    <row r="93" spans="1:8" x14ac:dyDescent="0.25">
      <c r="A93" s="134" t="s">
        <v>38</v>
      </c>
      <c r="B93" s="134"/>
      <c r="C93" s="134"/>
      <c r="D93" s="134"/>
      <c r="E93" s="134"/>
      <c r="F93" s="134"/>
      <c r="G93" s="134"/>
      <c r="H93" s="134"/>
    </row>
    <row r="94" spans="1:8" x14ac:dyDescent="0.25">
      <c r="A94" s="135" t="s">
        <v>1</v>
      </c>
      <c r="B94" s="135" t="s">
        <v>0</v>
      </c>
      <c r="C94" s="136" t="s">
        <v>17</v>
      </c>
      <c r="D94" s="138" t="s">
        <v>18</v>
      </c>
      <c r="E94" s="139" t="s">
        <v>38</v>
      </c>
      <c r="F94" s="140"/>
      <c r="G94" s="131" t="s">
        <v>8</v>
      </c>
      <c r="H94" s="131" t="s">
        <v>39</v>
      </c>
    </row>
    <row r="95" spans="1:8" x14ac:dyDescent="0.25">
      <c r="A95" s="135"/>
      <c r="B95" s="135"/>
      <c r="C95" s="137"/>
      <c r="D95" s="138"/>
      <c r="E95" s="11"/>
      <c r="F95" s="11" t="s">
        <v>33</v>
      </c>
      <c r="G95" s="131"/>
      <c r="H95" s="131"/>
    </row>
    <row r="96" spans="1:8" x14ac:dyDescent="0.25">
      <c r="A96" s="11">
        <v>1</v>
      </c>
      <c r="B96" s="12" t="s">
        <v>13</v>
      </c>
      <c r="C96" s="11"/>
      <c r="D96" s="11">
        <f>D74</f>
        <v>49</v>
      </c>
      <c r="E96" s="16"/>
      <c r="F96" s="16">
        <f>1300000</f>
        <v>1300000</v>
      </c>
      <c r="G96" s="16">
        <f>C96*E96</f>
        <v>0</v>
      </c>
      <c r="H96" s="16">
        <f>D96*F96</f>
        <v>63700000</v>
      </c>
    </row>
    <row r="97" spans="1:8" x14ac:dyDescent="0.25">
      <c r="A97" s="11">
        <v>2</v>
      </c>
      <c r="B97" s="12" t="s">
        <v>14</v>
      </c>
      <c r="C97" s="11"/>
      <c r="D97" s="11">
        <f>D75</f>
        <v>55</v>
      </c>
      <c r="E97" s="16"/>
      <c r="F97" s="16">
        <f t="shared" ref="F97:F98" si="17">1300000</f>
        <v>1300000</v>
      </c>
      <c r="G97" s="16">
        <f>C97*E97</f>
        <v>0</v>
      </c>
      <c r="H97" s="16">
        <f t="shared" ref="H97:H99" si="18">D97*F97</f>
        <v>71500000</v>
      </c>
    </row>
    <row r="98" spans="1:8" x14ac:dyDescent="0.25">
      <c r="A98" s="11">
        <v>3</v>
      </c>
      <c r="B98" s="12" t="s">
        <v>15</v>
      </c>
      <c r="C98" s="11"/>
      <c r="D98" s="11">
        <f>D76</f>
        <v>17</v>
      </c>
      <c r="E98" s="16"/>
      <c r="F98" s="16">
        <f t="shared" si="17"/>
        <v>1300000</v>
      </c>
      <c r="G98" s="16">
        <f>C98*E98</f>
        <v>0</v>
      </c>
      <c r="H98" s="16">
        <f t="shared" si="18"/>
        <v>22100000</v>
      </c>
    </row>
    <row r="99" spans="1:8" x14ac:dyDescent="0.25">
      <c r="A99" s="11">
        <v>4</v>
      </c>
      <c r="B99" s="11"/>
      <c r="C99" s="11"/>
      <c r="D99" s="11"/>
      <c r="E99" s="16"/>
      <c r="F99" s="16"/>
      <c r="G99" s="16">
        <f>C99*E99</f>
        <v>0</v>
      </c>
      <c r="H99" s="16">
        <f t="shared" si="18"/>
        <v>0</v>
      </c>
    </row>
    <row r="100" spans="1:8" x14ac:dyDescent="0.25">
      <c r="A100" s="132" t="s">
        <v>9</v>
      </c>
      <c r="B100" s="132"/>
      <c r="C100" s="132"/>
      <c r="D100" s="132"/>
      <c r="E100" s="132"/>
      <c r="F100" s="132"/>
      <c r="G100" s="17">
        <f>SUM(G96:G99)</f>
        <v>0</v>
      </c>
      <c r="H100" s="17">
        <f>SUM(H96:H99)</f>
        <v>157300000</v>
      </c>
    </row>
    <row r="101" spans="1:8" x14ac:dyDescent="0.25">
      <c r="A101" s="133" t="s">
        <v>7</v>
      </c>
      <c r="B101" s="133"/>
      <c r="C101" s="133"/>
      <c r="D101" s="133"/>
      <c r="E101" s="133"/>
      <c r="F101" s="133"/>
      <c r="G101" s="18"/>
      <c r="H101" s="18">
        <f>SUM(G100+H100)</f>
        <v>157300000</v>
      </c>
    </row>
    <row r="102" spans="1:8" x14ac:dyDescent="0.25">
      <c r="A102" s="115" t="s">
        <v>198</v>
      </c>
      <c r="B102" s="115"/>
      <c r="C102" s="115"/>
      <c r="D102" s="115"/>
      <c r="E102" s="115"/>
      <c r="F102" s="115"/>
      <c r="G102" s="18"/>
      <c r="H102" s="18">
        <f>H101/6</f>
        <v>26216666.666666668</v>
      </c>
    </row>
    <row r="104" spans="1:8" x14ac:dyDescent="0.25">
      <c r="A104" s="134" t="s">
        <v>40</v>
      </c>
      <c r="B104" s="134"/>
      <c r="C104" s="134"/>
      <c r="D104" s="134"/>
      <c r="E104" s="134"/>
      <c r="F104" s="134"/>
      <c r="G104" s="134"/>
      <c r="H104" s="134"/>
    </row>
    <row r="105" spans="1:8" x14ac:dyDescent="0.25">
      <c r="A105" s="135" t="s">
        <v>1</v>
      </c>
      <c r="B105" s="135" t="s">
        <v>0</v>
      </c>
      <c r="C105" s="136" t="s">
        <v>17</v>
      </c>
      <c r="D105" s="138" t="s">
        <v>18</v>
      </c>
      <c r="E105" s="139" t="s">
        <v>40</v>
      </c>
      <c r="F105" s="140"/>
      <c r="G105" s="131" t="s">
        <v>8</v>
      </c>
      <c r="H105" s="131" t="s">
        <v>35</v>
      </c>
    </row>
    <row r="106" spans="1:8" x14ac:dyDescent="0.25">
      <c r="A106" s="135"/>
      <c r="B106" s="135"/>
      <c r="C106" s="137"/>
      <c r="D106" s="138"/>
      <c r="E106" s="11"/>
      <c r="F106" s="11" t="s">
        <v>33</v>
      </c>
      <c r="G106" s="131"/>
      <c r="H106" s="131"/>
    </row>
    <row r="107" spans="1:8" x14ac:dyDescent="0.25">
      <c r="A107" s="11">
        <v>1</v>
      </c>
      <c r="B107" s="12" t="s">
        <v>13</v>
      </c>
      <c r="C107" s="11"/>
      <c r="D107" s="11">
        <f>D96</f>
        <v>49</v>
      </c>
      <c r="E107" s="16"/>
      <c r="F107" s="16">
        <v>250000</v>
      </c>
      <c r="G107" s="16">
        <f>C107*E107</f>
        <v>0</v>
      </c>
      <c r="H107" s="16">
        <f>D107*F107</f>
        <v>12250000</v>
      </c>
    </row>
    <row r="108" spans="1:8" x14ac:dyDescent="0.25">
      <c r="A108" s="11">
        <v>2</v>
      </c>
      <c r="B108" s="12" t="s">
        <v>14</v>
      </c>
      <c r="C108" s="11"/>
      <c r="D108" s="11">
        <f>D97</f>
        <v>55</v>
      </c>
      <c r="E108" s="16"/>
      <c r="F108" s="16">
        <v>250000</v>
      </c>
      <c r="G108" s="16">
        <f>C108*E108</f>
        <v>0</v>
      </c>
      <c r="H108" s="16">
        <f t="shared" ref="H108:H110" si="19">D108*F108</f>
        <v>13750000</v>
      </c>
    </row>
    <row r="109" spans="1:8" x14ac:dyDescent="0.25">
      <c r="A109" s="11">
        <v>3</v>
      </c>
      <c r="B109" s="12" t="s">
        <v>15</v>
      </c>
      <c r="C109" s="11"/>
      <c r="D109" s="11">
        <f>D98</f>
        <v>17</v>
      </c>
      <c r="E109" s="16"/>
      <c r="F109" s="16">
        <v>250000</v>
      </c>
      <c r="G109" s="16">
        <f>C109*E109</f>
        <v>0</v>
      </c>
      <c r="H109" s="16">
        <f t="shared" si="19"/>
        <v>4250000</v>
      </c>
    </row>
    <row r="110" spans="1:8" x14ac:dyDescent="0.25">
      <c r="A110" s="11">
        <v>4</v>
      </c>
      <c r="B110" s="11"/>
      <c r="C110" s="11"/>
      <c r="D110" s="11"/>
      <c r="E110" s="16"/>
      <c r="F110" s="16"/>
      <c r="G110" s="16">
        <f>C110*E110</f>
        <v>0</v>
      </c>
      <c r="H110" s="16">
        <f t="shared" si="19"/>
        <v>0</v>
      </c>
    </row>
    <row r="111" spans="1:8" x14ac:dyDescent="0.25">
      <c r="A111" s="132" t="s">
        <v>9</v>
      </c>
      <c r="B111" s="132"/>
      <c r="C111" s="132"/>
      <c r="D111" s="132"/>
      <c r="E111" s="132"/>
      <c r="F111" s="132"/>
      <c r="G111" s="17">
        <f>SUM(G107:G110)</f>
        <v>0</v>
      </c>
      <c r="H111" s="17">
        <f>SUM(H107:H110)</f>
        <v>30250000</v>
      </c>
    </row>
    <row r="112" spans="1:8" x14ac:dyDescent="0.25">
      <c r="A112" s="133" t="s">
        <v>7</v>
      </c>
      <c r="B112" s="133"/>
      <c r="C112" s="133"/>
      <c r="D112" s="133"/>
      <c r="E112" s="133"/>
      <c r="F112" s="133"/>
      <c r="G112" s="18"/>
      <c r="H112" s="18">
        <f>SUM(G111+H111)</f>
        <v>30250000</v>
      </c>
    </row>
    <row r="113" spans="1:8" x14ac:dyDescent="0.25">
      <c r="A113" s="115" t="s">
        <v>198</v>
      </c>
      <c r="B113" s="115"/>
      <c r="C113" s="115"/>
      <c r="D113" s="115"/>
      <c r="E113" s="115"/>
      <c r="F113" s="115"/>
      <c r="G113" s="18"/>
      <c r="H113" s="18">
        <f>H112/6</f>
        <v>5041666.666666667</v>
      </c>
    </row>
    <row r="115" spans="1:8" x14ac:dyDescent="0.25">
      <c r="A115" s="134" t="s">
        <v>41</v>
      </c>
      <c r="B115" s="134"/>
      <c r="C115" s="134"/>
      <c r="D115" s="134"/>
      <c r="E115" s="134"/>
      <c r="F115" s="134"/>
      <c r="G115" s="134"/>
      <c r="H115" s="134"/>
    </row>
    <row r="116" spans="1:8" x14ac:dyDescent="0.25">
      <c r="A116" s="135" t="s">
        <v>1</v>
      </c>
      <c r="B116" s="135" t="s">
        <v>0</v>
      </c>
      <c r="C116" s="136" t="s">
        <v>17</v>
      </c>
      <c r="D116" s="138" t="s">
        <v>18</v>
      </c>
      <c r="E116" s="139" t="s">
        <v>41</v>
      </c>
      <c r="F116" s="140"/>
      <c r="G116" s="131" t="s">
        <v>8</v>
      </c>
      <c r="H116" s="131" t="s">
        <v>35</v>
      </c>
    </row>
    <row r="117" spans="1:8" x14ac:dyDescent="0.25">
      <c r="A117" s="135"/>
      <c r="B117" s="135"/>
      <c r="C117" s="137"/>
      <c r="D117" s="138"/>
      <c r="E117" s="11"/>
      <c r="F117" s="11" t="s">
        <v>33</v>
      </c>
      <c r="G117" s="131"/>
      <c r="H117" s="131"/>
    </row>
    <row r="118" spans="1:8" x14ac:dyDescent="0.25">
      <c r="A118" s="11">
        <v>1</v>
      </c>
      <c r="B118" s="12" t="s">
        <v>13</v>
      </c>
      <c r="C118" s="11"/>
      <c r="D118" s="11">
        <f>D107</f>
        <v>49</v>
      </c>
      <c r="E118" s="16"/>
      <c r="F118" s="16">
        <f>1000000</f>
        <v>1000000</v>
      </c>
      <c r="G118" s="16">
        <f>C118*E118</f>
        <v>0</v>
      </c>
      <c r="H118" s="16">
        <f>D118*F118</f>
        <v>49000000</v>
      </c>
    </row>
    <row r="119" spans="1:8" x14ac:dyDescent="0.25">
      <c r="A119" s="11">
        <v>2</v>
      </c>
      <c r="B119" s="12" t="s">
        <v>14</v>
      </c>
      <c r="C119" s="11"/>
      <c r="D119" s="11">
        <f>D108</f>
        <v>55</v>
      </c>
      <c r="E119" s="16"/>
      <c r="F119" s="16">
        <f t="shared" ref="F119:F120" si="20">1000000</f>
        <v>1000000</v>
      </c>
      <c r="G119" s="16">
        <f>C119*E119</f>
        <v>0</v>
      </c>
      <c r="H119" s="16">
        <f t="shared" ref="H119:H121" si="21">D119*F119</f>
        <v>55000000</v>
      </c>
    </row>
    <row r="120" spans="1:8" x14ac:dyDescent="0.25">
      <c r="A120" s="11">
        <v>3</v>
      </c>
      <c r="B120" s="12" t="s">
        <v>15</v>
      </c>
      <c r="C120" s="11"/>
      <c r="D120" s="11">
        <f>D109</f>
        <v>17</v>
      </c>
      <c r="E120" s="16"/>
      <c r="F120" s="16">
        <f t="shared" si="20"/>
        <v>1000000</v>
      </c>
      <c r="G120" s="16">
        <f>C120*E120</f>
        <v>0</v>
      </c>
      <c r="H120" s="16">
        <f t="shared" si="21"/>
        <v>17000000</v>
      </c>
    </row>
    <row r="121" spans="1:8" x14ac:dyDescent="0.25">
      <c r="A121" s="11">
        <v>4</v>
      </c>
      <c r="B121" s="11"/>
      <c r="C121" s="11"/>
      <c r="D121" s="11"/>
      <c r="E121" s="16"/>
      <c r="F121" s="16"/>
      <c r="G121" s="16">
        <f>C121*E121</f>
        <v>0</v>
      </c>
      <c r="H121" s="16">
        <f t="shared" si="21"/>
        <v>0</v>
      </c>
    </row>
    <row r="122" spans="1:8" x14ac:dyDescent="0.25">
      <c r="A122" s="132" t="s">
        <v>9</v>
      </c>
      <c r="B122" s="132"/>
      <c r="C122" s="132"/>
      <c r="D122" s="132"/>
      <c r="E122" s="132"/>
      <c r="F122" s="132"/>
      <c r="G122" s="17">
        <f>SUM(G118:G121)</f>
        <v>0</v>
      </c>
      <c r="H122" s="17">
        <f>SUM(H118:H121)</f>
        <v>121000000</v>
      </c>
    </row>
    <row r="123" spans="1:8" x14ac:dyDescent="0.25">
      <c r="A123" s="133" t="s">
        <v>7</v>
      </c>
      <c r="B123" s="133"/>
      <c r="C123" s="133"/>
      <c r="D123" s="133"/>
      <c r="E123" s="133"/>
      <c r="F123" s="133"/>
      <c r="G123" s="18"/>
      <c r="H123" s="18">
        <f>SUM(G122+H122)</f>
        <v>121000000</v>
      </c>
    </row>
    <row r="124" spans="1:8" ht="16.5" customHeight="1" x14ac:dyDescent="0.25">
      <c r="A124" s="115" t="s">
        <v>198</v>
      </c>
      <c r="B124" s="115"/>
      <c r="C124" s="115"/>
      <c r="D124" s="115"/>
      <c r="E124" s="115"/>
      <c r="F124" s="115"/>
      <c r="G124" s="18"/>
      <c r="H124" s="18">
        <f>H123/6</f>
        <v>20166666.666666668</v>
      </c>
    </row>
    <row r="126" spans="1:8" x14ac:dyDescent="0.25">
      <c r="A126" s="134" t="s">
        <v>42</v>
      </c>
      <c r="B126" s="134"/>
      <c r="C126" s="134"/>
      <c r="D126" s="134"/>
      <c r="E126" s="134"/>
      <c r="F126" s="134"/>
      <c r="G126" s="134"/>
      <c r="H126" s="134"/>
    </row>
    <row r="127" spans="1:8" x14ac:dyDescent="0.25">
      <c r="A127" s="135" t="s">
        <v>1</v>
      </c>
      <c r="B127" s="135" t="s">
        <v>0</v>
      </c>
      <c r="C127" s="136" t="s">
        <v>17</v>
      </c>
      <c r="D127" s="138" t="s">
        <v>18</v>
      </c>
      <c r="E127" s="139" t="s">
        <v>42</v>
      </c>
      <c r="F127" s="140"/>
      <c r="G127" s="131" t="s">
        <v>8</v>
      </c>
      <c r="H127" s="131" t="s">
        <v>35</v>
      </c>
    </row>
    <row r="128" spans="1:8" x14ac:dyDescent="0.25">
      <c r="A128" s="135"/>
      <c r="B128" s="135"/>
      <c r="C128" s="137"/>
      <c r="D128" s="138"/>
      <c r="E128" s="11"/>
      <c r="F128" s="11" t="s">
        <v>33</v>
      </c>
      <c r="G128" s="131"/>
      <c r="H128" s="131"/>
    </row>
    <row r="129" spans="1:8" x14ac:dyDescent="0.25">
      <c r="A129" s="11">
        <v>1</v>
      </c>
      <c r="B129" s="12" t="s">
        <v>13</v>
      </c>
      <c r="C129" s="11"/>
      <c r="D129" s="11">
        <f>D118</f>
        <v>49</v>
      </c>
      <c r="E129" s="16"/>
      <c r="F129" s="16">
        <f>4000000</f>
        <v>4000000</v>
      </c>
      <c r="G129" s="16">
        <f>C129*E129</f>
        <v>0</v>
      </c>
      <c r="H129" s="16">
        <f>D129*F129</f>
        <v>196000000</v>
      </c>
    </row>
    <row r="130" spans="1:8" x14ac:dyDescent="0.25">
      <c r="A130" s="11">
        <v>2</v>
      </c>
      <c r="B130" s="12" t="s">
        <v>14</v>
      </c>
      <c r="C130" s="11"/>
      <c r="D130" s="11">
        <f>D119</f>
        <v>55</v>
      </c>
      <c r="E130" s="16"/>
      <c r="F130" s="16">
        <f t="shared" ref="F130:F131" si="22">4000000</f>
        <v>4000000</v>
      </c>
      <c r="G130" s="16">
        <f>C130*E130</f>
        <v>0</v>
      </c>
      <c r="H130" s="16">
        <f t="shared" ref="H130:H132" si="23">D130*F130</f>
        <v>220000000</v>
      </c>
    </row>
    <row r="131" spans="1:8" x14ac:dyDescent="0.25">
      <c r="A131" s="11">
        <v>3</v>
      </c>
      <c r="B131" s="12" t="s">
        <v>15</v>
      </c>
      <c r="C131" s="11"/>
      <c r="D131" s="11">
        <f>D120</f>
        <v>17</v>
      </c>
      <c r="E131" s="16"/>
      <c r="F131" s="16">
        <f t="shared" si="22"/>
        <v>4000000</v>
      </c>
      <c r="G131" s="16">
        <f>C131*E131</f>
        <v>0</v>
      </c>
      <c r="H131" s="16">
        <f t="shared" si="23"/>
        <v>68000000</v>
      </c>
    </row>
    <row r="132" spans="1:8" x14ac:dyDescent="0.25">
      <c r="A132" s="11">
        <v>4</v>
      </c>
      <c r="B132" s="11"/>
      <c r="C132" s="11"/>
      <c r="D132" s="11"/>
      <c r="E132" s="16"/>
      <c r="F132" s="16"/>
      <c r="G132" s="16">
        <f>C132*E132</f>
        <v>0</v>
      </c>
      <c r="H132" s="16">
        <f t="shared" si="23"/>
        <v>0</v>
      </c>
    </row>
    <row r="133" spans="1:8" x14ac:dyDescent="0.25">
      <c r="A133" s="132" t="s">
        <v>9</v>
      </c>
      <c r="B133" s="132"/>
      <c r="C133" s="132"/>
      <c r="D133" s="132"/>
      <c r="E133" s="132"/>
      <c r="F133" s="132"/>
      <c r="G133" s="17">
        <f>SUM(G129:G132)</f>
        <v>0</v>
      </c>
      <c r="H133" s="17">
        <f>SUM(H129:H132)</f>
        <v>484000000</v>
      </c>
    </row>
    <row r="134" spans="1:8" x14ac:dyDescent="0.25">
      <c r="A134" s="133" t="s">
        <v>7</v>
      </c>
      <c r="B134" s="133"/>
      <c r="C134" s="133"/>
      <c r="D134" s="133"/>
      <c r="E134" s="133"/>
      <c r="F134" s="133"/>
      <c r="G134" s="18"/>
      <c r="H134" s="18">
        <f>SUM(G133+H133)</f>
        <v>484000000</v>
      </c>
    </row>
    <row r="135" spans="1:8" x14ac:dyDescent="0.25">
      <c r="A135" s="115" t="s">
        <v>198</v>
      </c>
      <c r="B135" s="115"/>
      <c r="C135" s="115"/>
      <c r="D135" s="115"/>
      <c r="E135" s="115"/>
      <c r="F135" s="115"/>
      <c r="G135" s="18"/>
      <c r="H135" s="18">
        <f>H134/6</f>
        <v>80666666.666666672</v>
      </c>
    </row>
  </sheetData>
  <mergeCells count="135">
    <mergeCell ref="A1:H1"/>
    <mergeCell ref="A2:H2"/>
    <mergeCell ref="A3:H3"/>
    <mergeCell ref="A5:H5"/>
    <mergeCell ref="A6:A7"/>
    <mergeCell ref="B6:B7"/>
    <mergeCell ref="C6:C7"/>
    <mergeCell ref="D6:D7"/>
    <mergeCell ref="E6:F6"/>
    <mergeCell ref="G6:G7"/>
    <mergeCell ref="H6:H7"/>
    <mergeCell ref="A12:F12"/>
    <mergeCell ref="A13:F13"/>
    <mergeCell ref="A16:H16"/>
    <mergeCell ref="A17:A18"/>
    <mergeCell ref="B17:B18"/>
    <mergeCell ref="C17:C18"/>
    <mergeCell ref="D17:D18"/>
    <mergeCell ref="E17:F17"/>
    <mergeCell ref="G17:G18"/>
    <mergeCell ref="H17:H18"/>
    <mergeCell ref="A14:F14"/>
    <mergeCell ref="A23:F23"/>
    <mergeCell ref="A24:F24"/>
    <mergeCell ref="A27:H27"/>
    <mergeCell ref="A28:A29"/>
    <mergeCell ref="B28:B29"/>
    <mergeCell ref="C28:C29"/>
    <mergeCell ref="D28:D29"/>
    <mergeCell ref="E28:F28"/>
    <mergeCell ref="G28:G29"/>
    <mergeCell ref="H28:H29"/>
    <mergeCell ref="A25:F25"/>
    <mergeCell ref="A34:F34"/>
    <mergeCell ref="A35:F35"/>
    <mergeCell ref="A38:H38"/>
    <mergeCell ref="A39:A40"/>
    <mergeCell ref="B39:B40"/>
    <mergeCell ref="C39:C40"/>
    <mergeCell ref="D39:D40"/>
    <mergeCell ref="E39:F39"/>
    <mergeCell ref="G39:G40"/>
    <mergeCell ref="H39:H40"/>
    <mergeCell ref="A36:F36"/>
    <mergeCell ref="A45:F45"/>
    <mergeCell ref="A46:F46"/>
    <mergeCell ref="A49:H49"/>
    <mergeCell ref="A50:A51"/>
    <mergeCell ref="B50:B51"/>
    <mergeCell ref="C50:C51"/>
    <mergeCell ref="D50:D51"/>
    <mergeCell ref="E50:F50"/>
    <mergeCell ref="G50:G51"/>
    <mergeCell ref="H50:H51"/>
    <mergeCell ref="A47:F47"/>
    <mergeCell ref="A56:F56"/>
    <mergeCell ref="A57:F57"/>
    <mergeCell ref="A60:H60"/>
    <mergeCell ref="A61:A62"/>
    <mergeCell ref="B61:B62"/>
    <mergeCell ref="C61:C62"/>
    <mergeCell ref="D61:D62"/>
    <mergeCell ref="E61:F61"/>
    <mergeCell ref="G61:G62"/>
    <mergeCell ref="H61:H62"/>
    <mergeCell ref="A58:F58"/>
    <mergeCell ref="A67:F67"/>
    <mergeCell ref="A68:F68"/>
    <mergeCell ref="A71:H71"/>
    <mergeCell ref="A72:A73"/>
    <mergeCell ref="B72:B73"/>
    <mergeCell ref="C72:C73"/>
    <mergeCell ref="D72:D73"/>
    <mergeCell ref="E72:F72"/>
    <mergeCell ref="G72:G73"/>
    <mergeCell ref="H72:H73"/>
    <mergeCell ref="A69:F69"/>
    <mergeCell ref="A78:F78"/>
    <mergeCell ref="A79:F79"/>
    <mergeCell ref="A82:H82"/>
    <mergeCell ref="A83:A84"/>
    <mergeCell ref="B83:B84"/>
    <mergeCell ref="C83:C84"/>
    <mergeCell ref="D83:D84"/>
    <mergeCell ref="E83:F83"/>
    <mergeCell ref="G83:G84"/>
    <mergeCell ref="H83:H84"/>
    <mergeCell ref="A80:F80"/>
    <mergeCell ref="A89:F89"/>
    <mergeCell ref="A90:F90"/>
    <mergeCell ref="A93:H93"/>
    <mergeCell ref="A94:A95"/>
    <mergeCell ref="B94:B95"/>
    <mergeCell ref="C94:C95"/>
    <mergeCell ref="D94:D95"/>
    <mergeCell ref="E94:F94"/>
    <mergeCell ref="G94:G95"/>
    <mergeCell ref="H94:H95"/>
    <mergeCell ref="A91:F91"/>
    <mergeCell ref="A100:F100"/>
    <mergeCell ref="A101:F101"/>
    <mergeCell ref="A104:H104"/>
    <mergeCell ref="A105:A106"/>
    <mergeCell ref="B105:B106"/>
    <mergeCell ref="C105:C106"/>
    <mergeCell ref="D105:D106"/>
    <mergeCell ref="E105:F105"/>
    <mergeCell ref="G105:G106"/>
    <mergeCell ref="H105:H106"/>
    <mergeCell ref="A102:F102"/>
    <mergeCell ref="A111:F111"/>
    <mergeCell ref="A112:F112"/>
    <mergeCell ref="A115:H115"/>
    <mergeCell ref="A116:A117"/>
    <mergeCell ref="B116:B117"/>
    <mergeCell ref="C116:C117"/>
    <mergeCell ref="D116:D117"/>
    <mergeCell ref="E116:F116"/>
    <mergeCell ref="G116:G117"/>
    <mergeCell ref="A113:F113"/>
    <mergeCell ref="A135:F135"/>
    <mergeCell ref="H127:H128"/>
    <mergeCell ref="A133:F133"/>
    <mergeCell ref="A134:F134"/>
    <mergeCell ref="H116:H117"/>
    <mergeCell ref="A122:F122"/>
    <mergeCell ref="A123:F123"/>
    <mergeCell ref="A126:H126"/>
    <mergeCell ref="A127:A128"/>
    <mergeCell ref="B127:B128"/>
    <mergeCell ref="C127:C128"/>
    <mergeCell ref="D127:D128"/>
    <mergeCell ref="E127:F127"/>
    <mergeCell ref="G127:G128"/>
    <mergeCell ref="A124:F124"/>
  </mergeCells>
  <printOptions horizontalCentered="1"/>
  <pageMargins left="0.5" right="0.25" top="0.75" bottom="0.75" header="0.3" footer="0.3"/>
  <pageSetup paperSize="9" scale="60" fitToHeight="0" orientation="portrait" horizont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BBCB-AE97-4AB7-B75E-DC04A903478F}">
  <dimension ref="A1:L50"/>
  <sheetViews>
    <sheetView showGridLines="0" topLeftCell="A10" workbookViewId="0">
      <selection activeCell="G30" sqref="G30"/>
    </sheetView>
  </sheetViews>
  <sheetFormatPr defaultColWidth="8.77734375" defaultRowHeight="14.4" x14ac:dyDescent="0.3"/>
  <cols>
    <col min="1" max="2" width="3.77734375" style="24" customWidth="1"/>
    <col min="3" max="3" width="45.5546875" style="24" customWidth="1"/>
    <col min="4" max="10" width="15.77734375" style="24" customWidth="1"/>
    <col min="11" max="11" width="19.77734375" style="24" customWidth="1"/>
    <col min="12" max="16384" width="8.77734375" style="24"/>
  </cols>
  <sheetData>
    <row r="1" spans="1:12" ht="21" x14ac:dyDescent="0.4">
      <c r="A1" s="126" t="s">
        <v>67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ht="18" x14ac:dyDescent="0.35">
      <c r="A2" s="127" t="s">
        <v>44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ht="18" x14ac:dyDescent="0.35">
      <c r="A3" s="127" t="s">
        <v>45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1:12" ht="18" x14ac:dyDescent="0.35">
      <c r="A4" s="127" t="s">
        <v>46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</row>
    <row r="5" spans="1:12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2" ht="35.1" customHeight="1" x14ac:dyDescent="0.3">
      <c r="A6" s="26"/>
      <c r="B6" s="27"/>
      <c r="C6" s="28" t="s">
        <v>47</v>
      </c>
      <c r="D6" s="128" t="s">
        <v>48</v>
      </c>
      <c r="E6" s="129"/>
      <c r="F6" s="129"/>
      <c r="G6" s="129"/>
      <c r="H6" s="129"/>
      <c r="I6" s="129"/>
      <c r="J6" s="130"/>
      <c r="K6" s="29" t="s">
        <v>49</v>
      </c>
    </row>
    <row r="7" spans="1:12" ht="15.6" x14ac:dyDescent="0.3">
      <c r="A7" s="30"/>
      <c r="B7" s="31"/>
      <c r="C7" s="32"/>
      <c r="D7" s="33" t="s">
        <v>68</v>
      </c>
      <c r="E7" s="33" t="s">
        <v>69</v>
      </c>
      <c r="F7" s="33" t="s">
        <v>70</v>
      </c>
      <c r="G7" s="33" t="s">
        <v>71</v>
      </c>
      <c r="H7" s="33" t="s">
        <v>72</v>
      </c>
      <c r="I7" s="33" t="s">
        <v>73</v>
      </c>
      <c r="J7" s="33"/>
      <c r="K7" s="34"/>
    </row>
    <row r="8" spans="1:12" x14ac:dyDescent="0.3">
      <c r="A8" s="35"/>
      <c r="B8" s="36"/>
      <c r="C8" s="37"/>
      <c r="D8" s="38"/>
      <c r="E8" s="39"/>
      <c r="F8" s="39"/>
      <c r="G8" s="39"/>
      <c r="H8" s="39"/>
      <c r="I8" s="39"/>
      <c r="J8" s="39"/>
      <c r="K8" s="39"/>
    </row>
    <row r="9" spans="1:12" ht="15.6" x14ac:dyDescent="0.3">
      <c r="A9" s="40"/>
      <c r="B9" s="40"/>
      <c r="C9" s="41" t="s">
        <v>56</v>
      </c>
      <c r="D9" s="42"/>
      <c r="E9" s="43"/>
      <c r="F9" s="43"/>
      <c r="G9" s="43"/>
      <c r="H9" s="43"/>
      <c r="I9" s="43"/>
      <c r="J9" s="43"/>
      <c r="K9" s="43"/>
    </row>
    <row r="10" spans="1:12" ht="15.6" x14ac:dyDescent="0.3">
      <c r="A10" s="44"/>
      <c r="B10" s="44"/>
      <c r="C10" s="45"/>
      <c r="D10" s="44"/>
      <c r="E10" s="44"/>
      <c r="F10" s="44"/>
      <c r="G10" s="44"/>
      <c r="H10" s="44"/>
      <c r="I10" s="44"/>
      <c r="J10" s="44"/>
      <c r="K10" s="44"/>
    </row>
    <row r="11" spans="1:12" ht="15.6" x14ac:dyDescent="0.3">
      <c r="A11" s="44"/>
      <c r="B11" s="44"/>
      <c r="C11" s="46" t="s">
        <v>57</v>
      </c>
      <c r="D11" s="47">
        <f>'POTENSI GENAP'!$H14</f>
        <v>24150000</v>
      </c>
      <c r="E11" s="47">
        <f>'POTENSI GENAP'!$H14</f>
        <v>24150000</v>
      </c>
      <c r="F11" s="47">
        <f>'POTENSI GENAP'!$H14</f>
        <v>24150000</v>
      </c>
      <c r="G11" s="47">
        <f>'POTENSI GENAP'!$H14</f>
        <v>24150000</v>
      </c>
      <c r="H11" s="47">
        <f>'POTENSI GENAP'!$H14</f>
        <v>24150000</v>
      </c>
      <c r="I11" s="47">
        <f>'POTENSI GENAP'!$H14</f>
        <v>24150000</v>
      </c>
      <c r="J11" s="47"/>
      <c r="K11" s="47">
        <f t="shared" ref="K11:K26" si="0">SUM(D11:J11)</f>
        <v>144900000</v>
      </c>
    </row>
    <row r="12" spans="1:12" ht="15.6" x14ac:dyDescent="0.3">
      <c r="A12" s="44"/>
      <c r="B12" s="44"/>
      <c r="C12" s="48" t="s">
        <v>58</v>
      </c>
      <c r="D12" s="47">
        <f>'POTENSI GENAP'!$H25</f>
        <v>157100000</v>
      </c>
      <c r="E12" s="47">
        <f>'POTENSI GENAP'!$H25</f>
        <v>157100000</v>
      </c>
      <c r="F12" s="47">
        <f>'POTENSI GENAP'!$H25</f>
        <v>157100000</v>
      </c>
      <c r="G12" s="47">
        <f>'POTENSI GENAP'!$H25</f>
        <v>157100000</v>
      </c>
      <c r="H12" s="47">
        <f>'POTENSI GENAP'!$H25</f>
        <v>157100000</v>
      </c>
      <c r="I12" s="47">
        <f>'POTENSI GENAP'!$H25</f>
        <v>157100000</v>
      </c>
      <c r="J12" s="47"/>
      <c r="K12" s="47">
        <f t="shared" si="0"/>
        <v>942600000</v>
      </c>
    </row>
    <row r="13" spans="1:12" ht="15.6" x14ac:dyDescent="0.3">
      <c r="A13" s="44"/>
      <c r="B13" s="44"/>
      <c r="C13" s="48" t="s">
        <v>60</v>
      </c>
      <c r="D13" s="47">
        <f>'POTENSI GASAL'!$H25</f>
        <v>16541666.666666666</v>
      </c>
      <c r="E13" s="47">
        <f>'POTENSI GASAL'!$H25</f>
        <v>16541666.666666666</v>
      </c>
      <c r="F13" s="47">
        <f>'POTENSI GASAL'!$H25</f>
        <v>16541666.666666666</v>
      </c>
      <c r="G13" s="47">
        <f>'POTENSI GASAL'!$H25</f>
        <v>16541666.666666666</v>
      </c>
      <c r="H13" s="47">
        <f>'POTENSI GASAL'!$H25</f>
        <v>16541666.666666666</v>
      </c>
      <c r="I13" s="47">
        <f>'POTENSI GASAL'!$H25</f>
        <v>16541666.666666666</v>
      </c>
      <c r="J13" s="47"/>
      <c r="K13" s="47">
        <f t="shared" si="0"/>
        <v>99250000</v>
      </c>
    </row>
    <row r="14" spans="1:12" ht="15.6" x14ac:dyDescent="0.3">
      <c r="A14" s="44"/>
      <c r="B14" s="44"/>
      <c r="C14" s="48" t="s">
        <v>61</v>
      </c>
      <c r="D14" s="47"/>
      <c r="E14" s="47"/>
      <c r="F14" s="47"/>
      <c r="G14" s="47"/>
      <c r="H14" s="47"/>
      <c r="I14" s="47"/>
      <c r="J14" s="47"/>
      <c r="K14" s="47">
        <f t="shared" si="0"/>
        <v>0</v>
      </c>
    </row>
    <row r="15" spans="1:12" ht="15.6" x14ac:dyDescent="0.3">
      <c r="A15" s="44"/>
      <c r="B15" s="44"/>
      <c r="C15" s="48" t="s">
        <v>62</v>
      </c>
      <c r="D15" s="47">
        <f>'POTENSI GENAP'!$H36</f>
        <v>24150000</v>
      </c>
      <c r="E15" s="47">
        <f>'POTENSI GENAP'!$H36</f>
        <v>24150000</v>
      </c>
      <c r="F15" s="47">
        <f>'POTENSI GENAP'!$H36</f>
        <v>24150000</v>
      </c>
      <c r="G15" s="47">
        <f>'POTENSI GENAP'!$H36</f>
        <v>24150000</v>
      </c>
      <c r="H15" s="47">
        <f>'POTENSI GENAP'!$H36</f>
        <v>24150000</v>
      </c>
      <c r="I15" s="47">
        <f>'POTENSI GENAP'!$H36</f>
        <v>24150000</v>
      </c>
      <c r="J15" s="47"/>
      <c r="K15" s="47">
        <f t="shared" si="0"/>
        <v>144900000</v>
      </c>
    </row>
    <row r="16" spans="1:12" ht="15.6" x14ac:dyDescent="0.3">
      <c r="A16" s="44"/>
      <c r="B16" s="44"/>
      <c r="C16" s="48" t="s">
        <v>63</v>
      </c>
      <c r="D16" s="47">
        <f>'POTENSI GENAP'!$H47</f>
        <v>18100000</v>
      </c>
      <c r="E16" s="47">
        <f>'POTENSI GENAP'!$H47</f>
        <v>18100000</v>
      </c>
      <c r="F16" s="47">
        <f>'POTENSI GENAP'!$H47</f>
        <v>18100000</v>
      </c>
      <c r="G16" s="47">
        <f>'POTENSI GENAP'!$H47</f>
        <v>18100000</v>
      </c>
      <c r="H16" s="47">
        <f>'POTENSI GENAP'!$H47</f>
        <v>18100000</v>
      </c>
      <c r="I16" s="47">
        <f>'POTENSI GENAP'!$H47</f>
        <v>18100000</v>
      </c>
      <c r="J16" s="47"/>
      <c r="K16" s="47">
        <f t="shared" si="0"/>
        <v>108600000</v>
      </c>
    </row>
    <row r="17" spans="1:11" ht="15.6" x14ac:dyDescent="0.3">
      <c r="A17" s="44"/>
      <c r="B17" s="44"/>
      <c r="C17" s="48" t="s">
        <v>64</v>
      </c>
      <c r="D17" s="47">
        <f>'POTENSI GENAP'!$H58</f>
        <v>14250000</v>
      </c>
      <c r="E17" s="47">
        <f>'POTENSI GENAP'!$H58</f>
        <v>14250000</v>
      </c>
      <c r="F17" s="47">
        <f>'POTENSI GENAP'!$H58</f>
        <v>14250000</v>
      </c>
      <c r="G17" s="47">
        <f>'POTENSI GENAP'!$H58</f>
        <v>14250000</v>
      </c>
      <c r="H17" s="47">
        <f>'POTENSI GENAP'!$H58</f>
        <v>14250000</v>
      </c>
      <c r="I17" s="47">
        <f>'POTENSI GENAP'!$H58</f>
        <v>14250000</v>
      </c>
      <c r="J17" s="47"/>
      <c r="K17" s="47">
        <f t="shared" si="0"/>
        <v>85500000</v>
      </c>
    </row>
    <row r="18" spans="1:11" ht="15.6" x14ac:dyDescent="0.3">
      <c r="A18" s="44"/>
      <c r="B18" s="44"/>
      <c r="C18" s="48" t="s">
        <v>65</v>
      </c>
      <c r="D18" s="47"/>
      <c r="E18" s="47"/>
      <c r="F18" s="47"/>
      <c r="G18" s="47"/>
      <c r="H18" s="47"/>
      <c r="I18" s="47"/>
      <c r="J18" s="47"/>
      <c r="K18" s="47">
        <f t="shared" si="0"/>
        <v>0</v>
      </c>
    </row>
    <row r="19" spans="1:11" ht="15.6" x14ac:dyDescent="0.3">
      <c r="A19" s="44"/>
      <c r="B19" s="44"/>
      <c r="C19" s="48" t="s">
        <v>74</v>
      </c>
      <c r="D19" s="47">
        <f>'POTENSI GENAP'!$H69</f>
        <v>32266666.666666668</v>
      </c>
      <c r="E19" s="47">
        <f>'POTENSI GENAP'!$H69</f>
        <v>32266666.666666668</v>
      </c>
      <c r="F19" s="47">
        <f>'POTENSI GENAP'!$H69</f>
        <v>32266666.666666668</v>
      </c>
      <c r="G19" s="47">
        <f>'POTENSI GENAP'!$H69</f>
        <v>32266666.666666668</v>
      </c>
      <c r="H19" s="47">
        <f>'POTENSI GENAP'!$H69</f>
        <v>32266666.666666668</v>
      </c>
      <c r="I19" s="47">
        <f>'POTENSI GENAP'!$H69</f>
        <v>32266666.666666668</v>
      </c>
      <c r="J19" s="47"/>
      <c r="K19" s="47">
        <f t="shared" si="0"/>
        <v>193600000</v>
      </c>
    </row>
    <row r="20" spans="1:11" ht="15.6" x14ac:dyDescent="0.3">
      <c r="A20" s="44"/>
      <c r="B20" s="44"/>
      <c r="C20" s="48" t="s">
        <v>75</v>
      </c>
      <c r="D20" s="47">
        <f>'POTENSI GENAP'!$H80</f>
        <v>15125000</v>
      </c>
      <c r="E20" s="47">
        <f>'POTENSI GENAP'!$H80</f>
        <v>15125000</v>
      </c>
      <c r="F20" s="47">
        <f>'POTENSI GENAP'!$H80</f>
        <v>15125000</v>
      </c>
      <c r="G20" s="47">
        <f>'POTENSI GENAP'!$H80</f>
        <v>15125000</v>
      </c>
      <c r="H20" s="47">
        <f>'POTENSI GENAP'!$H80</f>
        <v>15125000</v>
      </c>
      <c r="I20" s="47">
        <f>'POTENSI GENAP'!$H80</f>
        <v>15125000</v>
      </c>
      <c r="J20" s="47"/>
      <c r="K20" s="47">
        <f t="shared" si="0"/>
        <v>90750000</v>
      </c>
    </row>
    <row r="21" spans="1:11" ht="15.6" x14ac:dyDescent="0.3">
      <c r="A21" s="44"/>
      <c r="B21" s="44"/>
      <c r="C21" s="48" t="s">
        <v>76</v>
      </c>
      <c r="D21" s="47">
        <f>'POTENSI GENAP'!$H91</f>
        <v>12100000</v>
      </c>
      <c r="E21" s="47">
        <f>'POTENSI GENAP'!$H91</f>
        <v>12100000</v>
      </c>
      <c r="F21" s="47">
        <f>'POTENSI GENAP'!$H91</f>
        <v>12100000</v>
      </c>
      <c r="G21" s="47">
        <f>'POTENSI GENAP'!$H91</f>
        <v>12100000</v>
      </c>
      <c r="H21" s="47">
        <f>'POTENSI GENAP'!$H91</f>
        <v>12100000</v>
      </c>
      <c r="I21" s="47">
        <f>'POTENSI GENAP'!$H91</f>
        <v>12100000</v>
      </c>
      <c r="J21" s="47"/>
      <c r="K21" s="47">
        <f t="shared" si="0"/>
        <v>72600000</v>
      </c>
    </row>
    <row r="22" spans="1:11" ht="15.6" x14ac:dyDescent="0.3">
      <c r="A22" s="44"/>
      <c r="B22" s="44"/>
      <c r="C22" s="48" t="s">
        <v>77</v>
      </c>
      <c r="D22" s="47">
        <f>'POTENSI GENAP'!$H102</f>
        <v>26216666.666666668</v>
      </c>
      <c r="E22" s="47">
        <f>'POTENSI GENAP'!$H102</f>
        <v>26216666.666666668</v>
      </c>
      <c r="F22" s="47">
        <f>'POTENSI GENAP'!$H102</f>
        <v>26216666.666666668</v>
      </c>
      <c r="G22" s="47">
        <f>'POTENSI GENAP'!$H102</f>
        <v>26216666.666666668</v>
      </c>
      <c r="H22" s="47">
        <f>'POTENSI GENAP'!$H102</f>
        <v>26216666.666666668</v>
      </c>
      <c r="I22" s="47">
        <f>'POTENSI GENAP'!$H102</f>
        <v>26216666.666666668</v>
      </c>
      <c r="J22" s="47"/>
      <c r="K22" s="47">
        <f t="shared" si="0"/>
        <v>157300000</v>
      </c>
    </row>
    <row r="23" spans="1:11" ht="15.6" x14ac:dyDescent="0.3">
      <c r="A23" s="44"/>
      <c r="B23" s="44"/>
      <c r="C23" s="48" t="s">
        <v>78</v>
      </c>
      <c r="D23" s="47">
        <f>'POTENSI GENAP'!$H113</f>
        <v>5041666.666666667</v>
      </c>
      <c r="E23" s="47">
        <f>'POTENSI GENAP'!$H113</f>
        <v>5041666.666666667</v>
      </c>
      <c r="F23" s="47">
        <f>'POTENSI GENAP'!$H113</f>
        <v>5041666.666666667</v>
      </c>
      <c r="G23" s="47">
        <f>'POTENSI GENAP'!$H113</f>
        <v>5041666.666666667</v>
      </c>
      <c r="H23" s="47">
        <f>'POTENSI GENAP'!$H113</f>
        <v>5041666.666666667</v>
      </c>
      <c r="I23" s="47">
        <f>'POTENSI GENAP'!$H113</f>
        <v>5041666.666666667</v>
      </c>
      <c r="J23" s="47"/>
      <c r="K23" s="47">
        <f t="shared" si="0"/>
        <v>30250000.000000004</v>
      </c>
    </row>
    <row r="24" spans="1:11" ht="15.6" x14ac:dyDescent="0.3">
      <c r="A24" s="44"/>
      <c r="B24" s="44"/>
      <c r="C24" s="48" t="s">
        <v>79</v>
      </c>
      <c r="D24" s="47">
        <f>'POTENSI GENAP'!$H124</f>
        <v>20166666.666666668</v>
      </c>
      <c r="E24" s="47">
        <f>'POTENSI GENAP'!$H124</f>
        <v>20166666.666666668</v>
      </c>
      <c r="F24" s="47">
        <f>'POTENSI GENAP'!$H124</f>
        <v>20166666.666666668</v>
      </c>
      <c r="G24" s="47">
        <f>'POTENSI GENAP'!$H124</f>
        <v>20166666.666666668</v>
      </c>
      <c r="H24" s="47">
        <f>'POTENSI GENAP'!$H124</f>
        <v>20166666.666666668</v>
      </c>
      <c r="I24" s="47">
        <f>'POTENSI GENAP'!$H124</f>
        <v>20166666.666666668</v>
      </c>
      <c r="J24" s="47"/>
      <c r="K24" s="47">
        <f t="shared" si="0"/>
        <v>121000000.00000001</v>
      </c>
    </row>
    <row r="25" spans="1:11" ht="15.6" x14ac:dyDescent="0.3">
      <c r="A25" s="44"/>
      <c r="B25" s="44"/>
      <c r="C25" s="48" t="s">
        <v>80</v>
      </c>
      <c r="D25" s="47">
        <f>'POTENSI GENAP'!$H135</f>
        <v>80666666.666666672</v>
      </c>
      <c r="E25" s="47">
        <f>'POTENSI GENAP'!$H135</f>
        <v>80666666.666666672</v>
      </c>
      <c r="F25" s="47">
        <f>'POTENSI GENAP'!$H135</f>
        <v>80666666.666666672</v>
      </c>
      <c r="G25" s="47">
        <f>'POTENSI GENAP'!$H135</f>
        <v>80666666.666666672</v>
      </c>
      <c r="H25" s="47">
        <f>'POTENSI GENAP'!$H135</f>
        <v>80666666.666666672</v>
      </c>
      <c r="I25" s="47">
        <f>'POTENSI GENAP'!$H135</f>
        <v>80666666.666666672</v>
      </c>
      <c r="J25" s="47"/>
      <c r="K25" s="47">
        <f t="shared" si="0"/>
        <v>484000000.00000006</v>
      </c>
    </row>
    <row r="26" spans="1:11" ht="15.6" x14ac:dyDescent="0.3">
      <c r="A26" s="44"/>
      <c r="B26" s="44"/>
      <c r="C26" s="49" t="s">
        <v>81</v>
      </c>
      <c r="D26" s="47"/>
      <c r="E26" s="47"/>
      <c r="F26" s="47"/>
      <c r="G26" s="47"/>
      <c r="H26" s="47"/>
      <c r="I26" s="47"/>
      <c r="J26" s="47"/>
      <c r="K26" s="47">
        <f t="shared" si="0"/>
        <v>0</v>
      </c>
    </row>
    <row r="27" spans="1:11" x14ac:dyDescent="0.3">
      <c r="A27" s="44"/>
      <c r="B27" s="44"/>
      <c r="C27" s="44"/>
      <c r="D27" s="47"/>
      <c r="E27" s="47"/>
      <c r="F27" s="47"/>
      <c r="G27" s="47"/>
      <c r="H27" s="47"/>
      <c r="I27" s="47"/>
      <c r="J27" s="47"/>
      <c r="K27" s="47"/>
    </row>
    <row r="28" spans="1:11" ht="15.6" x14ac:dyDescent="0.3">
      <c r="A28" s="50"/>
      <c r="B28" s="50"/>
      <c r="C28" s="33" t="s">
        <v>66</v>
      </c>
      <c r="D28" s="51">
        <f>SUM(D11:D27)</f>
        <v>445875000.00000006</v>
      </c>
      <c r="E28" s="51">
        <f t="shared" ref="E28:K28" si="1">SUM(E11:E27)</f>
        <v>445875000.00000006</v>
      </c>
      <c r="F28" s="51">
        <f t="shared" si="1"/>
        <v>445875000.00000006</v>
      </c>
      <c r="G28" s="51">
        <f t="shared" si="1"/>
        <v>445875000.00000006</v>
      </c>
      <c r="H28" s="51">
        <f t="shared" si="1"/>
        <v>445875000.00000006</v>
      </c>
      <c r="I28" s="51">
        <f t="shared" si="1"/>
        <v>445875000.00000006</v>
      </c>
      <c r="J28" s="51">
        <f t="shared" si="1"/>
        <v>0</v>
      </c>
      <c r="K28" s="51">
        <f t="shared" si="1"/>
        <v>2675250000</v>
      </c>
    </row>
    <row r="29" spans="1:11" x14ac:dyDescent="0.3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</row>
    <row r="30" spans="1:11" x14ac:dyDescent="0.3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1:11" ht="15.6" x14ac:dyDescent="0.3">
      <c r="A31" s="52"/>
      <c r="B31" s="53"/>
      <c r="C31" s="54"/>
      <c r="D31" s="25"/>
      <c r="E31" s="25"/>
      <c r="F31" s="25"/>
      <c r="G31" s="25"/>
      <c r="H31" s="25"/>
      <c r="I31" s="25"/>
      <c r="J31" s="25"/>
      <c r="K31" s="25"/>
    </row>
    <row r="32" spans="1:11" x14ac:dyDescent="0.3">
      <c r="A32" s="25"/>
      <c r="B32" s="55"/>
      <c r="C32" s="56"/>
      <c r="D32" s="25"/>
      <c r="E32" s="25"/>
      <c r="F32" s="25"/>
      <c r="G32" s="25"/>
      <c r="H32" s="25"/>
      <c r="I32" s="25"/>
      <c r="J32" s="25"/>
      <c r="K32" s="25"/>
    </row>
    <row r="33" spans="1:11" x14ac:dyDescent="0.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x14ac:dyDescent="0.3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pans="1:11" x14ac:dyDescent="0.3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1:11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3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pans="1:11" x14ac:dyDescent="0.3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1" x14ac:dyDescent="0.3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1:11" x14ac:dyDescent="0.3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1" x14ac:dyDescent="0.3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spans="1:11" x14ac:dyDescent="0.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1:11" x14ac:dyDescent="0.3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1" x14ac:dyDescent="0.3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x14ac:dyDescent="0.3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x14ac:dyDescent="0.3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x14ac:dyDescent="0.3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x14ac:dyDescent="0.3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x14ac:dyDescent="0.3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</row>
  </sheetData>
  <mergeCells count="5">
    <mergeCell ref="A1:L1"/>
    <mergeCell ref="A2:L2"/>
    <mergeCell ref="A3:L3"/>
    <mergeCell ref="A4:L4"/>
    <mergeCell ref="D6:J6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9983D-454E-40E1-8126-62E555663EF3}">
  <dimension ref="A1:L124"/>
  <sheetViews>
    <sheetView showGridLines="0" topLeftCell="A97" workbookViewId="0">
      <selection sqref="A1:L1"/>
    </sheetView>
  </sheetViews>
  <sheetFormatPr defaultColWidth="8.77734375" defaultRowHeight="14.4" x14ac:dyDescent="0.3"/>
  <cols>
    <col min="1" max="2" width="3.77734375" style="24" customWidth="1"/>
    <col min="3" max="3" width="54.109375" style="24" customWidth="1"/>
    <col min="4" max="4" width="5.77734375" style="24" customWidth="1"/>
    <col min="5" max="11" width="15.77734375" style="24" customWidth="1"/>
    <col min="12" max="12" width="20.21875" style="24" customWidth="1"/>
    <col min="13" max="16384" width="8.77734375" style="24"/>
  </cols>
  <sheetData>
    <row r="1" spans="1:12" ht="18.75" customHeight="1" x14ac:dyDescent="0.4">
      <c r="A1" s="126" t="s">
        <v>205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ht="18.75" customHeight="1" x14ac:dyDescent="0.35">
      <c r="A2" s="127" t="s">
        <v>44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ht="18.75" customHeight="1" x14ac:dyDescent="0.35">
      <c r="A3" s="127" t="s">
        <v>45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1:12" ht="18.75" customHeight="1" x14ac:dyDescent="0.35">
      <c r="A4" s="127" t="s">
        <v>46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</row>
    <row r="5" spans="1:12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35.1" customHeight="1" x14ac:dyDescent="0.3">
      <c r="A6" s="26"/>
      <c r="B6" s="27"/>
      <c r="C6" s="28" t="s">
        <v>82</v>
      </c>
      <c r="D6" s="143" t="s">
        <v>83</v>
      </c>
      <c r="E6" s="128" t="s">
        <v>84</v>
      </c>
      <c r="F6" s="129"/>
      <c r="G6" s="129"/>
      <c r="H6" s="129"/>
      <c r="I6" s="129"/>
      <c r="J6" s="129"/>
      <c r="K6" s="129"/>
      <c r="L6" s="57" t="s">
        <v>85</v>
      </c>
    </row>
    <row r="7" spans="1:12" ht="15.6" x14ac:dyDescent="0.3">
      <c r="A7" s="30"/>
      <c r="B7" s="31"/>
      <c r="C7" s="32"/>
      <c r="D7" s="144"/>
      <c r="E7" s="33" t="s">
        <v>50</v>
      </c>
      <c r="F7" s="33" t="s">
        <v>51</v>
      </c>
      <c r="G7" s="33" t="s">
        <v>52</v>
      </c>
      <c r="H7" s="33" t="s">
        <v>53</v>
      </c>
      <c r="I7" s="33" t="s">
        <v>54</v>
      </c>
      <c r="J7" s="33" t="s">
        <v>55</v>
      </c>
      <c r="K7" s="33"/>
      <c r="L7" s="58"/>
    </row>
    <row r="8" spans="1:12" ht="15.6" x14ac:dyDescent="0.3">
      <c r="A8" s="59" t="s">
        <v>86</v>
      </c>
      <c r="B8" s="60"/>
      <c r="C8" s="61" t="s">
        <v>87</v>
      </c>
      <c r="D8" s="62"/>
      <c r="E8" s="38"/>
      <c r="F8" s="39"/>
      <c r="G8" s="39"/>
      <c r="H8" s="39"/>
      <c r="I8" s="39"/>
      <c r="J8" s="39"/>
      <c r="K8" s="39"/>
      <c r="L8" s="39"/>
    </row>
    <row r="9" spans="1:12" ht="15.6" x14ac:dyDescent="0.3">
      <c r="A9" s="63"/>
      <c r="B9" s="63"/>
      <c r="C9" s="41" t="s">
        <v>88</v>
      </c>
      <c r="D9" s="64"/>
      <c r="E9" s="42"/>
      <c r="F9" s="43"/>
      <c r="G9" s="43"/>
      <c r="H9" s="43"/>
      <c r="I9" s="43"/>
      <c r="J9" s="43"/>
      <c r="K9" s="43"/>
      <c r="L9" s="43"/>
    </row>
    <row r="10" spans="1:12" ht="15.6" x14ac:dyDescent="0.3">
      <c r="A10" s="46"/>
      <c r="B10" s="46"/>
      <c r="C10" s="45" t="s">
        <v>89</v>
      </c>
      <c r="D10" s="45"/>
      <c r="E10" s="44"/>
      <c r="F10" s="44"/>
      <c r="G10" s="44"/>
      <c r="H10" s="44"/>
      <c r="I10" s="44"/>
      <c r="J10" s="44"/>
      <c r="K10" s="44"/>
      <c r="L10" s="44"/>
    </row>
    <row r="11" spans="1:12" ht="15.6" x14ac:dyDescent="0.3">
      <c r="A11" s="46"/>
      <c r="B11" s="46"/>
      <c r="C11" s="46" t="s">
        <v>90</v>
      </c>
      <c r="D11" s="65" t="s">
        <v>91</v>
      </c>
      <c r="E11" s="47">
        <f>307000000</f>
        <v>307000000</v>
      </c>
      <c r="F11" s="47"/>
      <c r="G11" s="47"/>
      <c r="H11" s="47"/>
      <c r="I11" s="47"/>
      <c r="J11" s="47"/>
      <c r="K11" s="47"/>
      <c r="L11" s="47">
        <f t="shared" ref="L11:L42" si="0">SUM(E11:K11)</f>
        <v>307000000</v>
      </c>
    </row>
    <row r="12" spans="1:12" ht="15.6" x14ac:dyDescent="0.3">
      <c r="A12" s="46"/>
      <c r="B12" s="46"/>
      <c r="C12" s="48" t="s">
        <v>92</v>
      </c>
      <c r="D12" s="65" t="s">
        <v>91</v>
      </c>
      <c r="E12" s="47">
        <f>95000000</f>
        <v>95000000</v>
      </c>
      <c r="F12" s="47"/>
      <c r="G12" s="47"/>
      <c r="H12" s="47"/>
      <c r="I12" s="47"/>
      <c r="J12" s="47"/>
      <c r="K12" s="47"/>
      <c r="L12" s="47">
        <f t="shared" si="0"/>
        <v>95000000</v>
      </c>
    </row>
    <row r="13" spans="1:12" ht="15.6" x14ac:dyDescent="0.3">
      <c r="A13" s="46"/>
      <c r="B13" s="46"/>
      <c r="C13" s="48" t="s">
        <v>93</v>
      </c>
      <c r="D13" s="65" t="s">
        <v>91</v>
      </c>
      <c r="E13" s="47">
        <f>95000000</f>
        <v>95000000</v>
      </c>
      <c r="F13" s="47"/>
      <c r="G13" s="47"/>
      <c r="H13" s="47"/>
      <c r="I13" s="47"/>
      <c r="J13" s="47"/>
      <c r="K13" s="47"/>
      <c r="L13" s="47"/>
    </row>
    <row r="14" spans="1:12" ht="15.6" x14ac:dyDescent="0.3">
      <c r="A14" s="46"/>
      <c r="B14" s="46"/>
      <c r="C14" s="48" t="s">
        <v>92</v>
      </c>
      <c r="D14" s="65" t="s">
        <v>91</v>
      </c>
      <c r="E14" s="47">
        <f>85000000</f>
        <v>85000000</v>
      </c>
      <c r="F14" s="47"/>
      <c r="G14" s="47"/>
      <c r="H14" s="47"/>
      <c r="I14" s="47"/>
      <c r="J14" s="47"/>
      <c r="K14" s="47"/>
      <c r="L14" s="47"/>
    </row>
    <row r="15" spans="1:12" ht="15.6" x14ac:dyDescent="0.3">
      <c r="A15" s="46"/>
      <c r="B15" s="46"/>
      <c r="C15" s="48" t="s">
        <v>94</v>
      </c>
      <c r="D15" s="65" t="s">
        <v>91</v>
      </c>
      <c r="E15" s="47">
        <f>85000000</f>
        <v>85000000</v>
      </c>
      <c r="F15" s="47"/>
      <c r="G15" s="47"/>
      <c r="H15" s="47"/>
      <c r="I15" s="47"/>
      <c r="J15" s="47"/>
      <c r="K15" s="47"/>
      <c r="L15" s="47"/>
    </row>
    <row r="16" spans="1:12" ht="15.6" x14ac:dyDescent="0.3">
      <c r="A16" s="46"/>
      <c r="B16" s="46"/>
      <c r="C16" s="48" t="s">
        <v>95</v>
      </c>
      <c r="D16" s="65" t="s">
        <v>91</v>
      </c>
      <c r="E16" s="47">
        <f>85000000</f>
        <v>85000000</v>
      </c>
      <c r="F16" s="47"/>
      <c r="G16" s="47"/>
      <c r="H16" s="47"/>
      <c r="I16" s="47"/>
      <c r="J16" s="47"/>
      <c r="K16" s="47"/>
      <c r="L16" s="47">
        <f t="shared" si="0"/>
        <v>85000000</v>
      </c>
    </row>
    <row r="17" spans="1:12" ht="15.6" x14ac:dyDescent="0.3">
      <c r="A17" s="46"/>
      <c r="B17" s="46"/>
      <c r="C17" s="48" t="s">
        <v>96</v>
      </c>
      <c r="D17" s="65" t="s">
        <v>91</v>
      </c>
      <c r="E17" s="47">
        <f>[4]POTENSI!$H$65-95000000</f>
        <v>98600000</v>
      </c>
      <c r="F17" s="47"/>
      <c r="G17" s="47"/>
      <c r="H17" s="47"/>
      <c r="I17" s="47"/>
      <c r="J17" s="47"/>
      <c r="K17" s="47"/>
      <c r="L17" s="47">
        <f t="shared" si="0"/>
        <v>98600000</v>
      </c>
    </row>
    <row r="18" spans="1:12" ht="15.6" x14ac:dyDescent="0.3">
      <c r="A18" s="46"/>
      <c r="B18" s="46"/>
      <c r="C18" s="48" t="s">
        <v>97</v>
      </c>
      <c r="D18" s="65" t="s">
        <v>91</v>
      </c>
      <c r="E18" s="47">
        <f>[1]POTENSI!H76-25000000</f>
        <v>53650000</v>
      </c>
      <c r="F18" s="47"/>
      <c r="G18" s="47"/>
      <c r="H18" s="47"/>
      <c r="I18" s="47"/>
      <c r="J18" s="47"/>
      <c r="K18" s="47"/>
      <c r="L18" s="47">
        <f t="shared" si="0"/>
        <v>53650000</v>
      </c>
    </row>
    <row r="19" spans="1:12" ht="15.6" x14ac:dyDescent="0.3">
      <c r="A19" s="46"/>
      <c r="B19" s="46"/>
      <c r="C19" s="48" t="s">
        <v>98</v>
      </c>
      <c r="D19" s="65" t="s">
        <v>91</v>
      </c>
      <c r="E19" s="47">
        <f>[4]POTENSI!$H$75-25000000</f>
        <v>65750000</v>
      </c>
      <c r="F19" s="47"/>
      <c r="G19" s="47"/>
      <c r="H19" s="47"/>
      <c r="I19" s="47"/>
      <c r="J19" s="47"/>
      <c r="K19" s="47"/>
      <c r="L19" s="47">
        <f t="shared" si="0"/>
        <v>65750000</v>
      </c>
    </row>
    <row r="20" spans="1:12" ht="15.6" x14ac:dyDescent="0.3">
      <c r="A20" s="46"/>
      <c r="B20" s="46"/>
      <c r="C20" s="48" t="s">
        <v>99</v>
      </c>
      <c r="D20" s="65" t="s">
        <v>91</v>
      </c>
      <c r="E20" s="47">
        <f>[4]POTENSI!$H$85-20000000</f>
        <v>52600000</v>
      </c>
      <c r="F20" s="47"/>
      <c r="G20" s="47"/>
      <c r="H20" s="47"/>
      <c r="I20" s="47"/>
      <c r="J20" s="47"/>
      <c r="K20" s="47"/>
      <c r="L20" s="47">
        <f t="shared" si="0"/>
        <v>52600000</v>
      </c>
    </row>
    <row r="21" spans="1:12" ht="15.6" x14ac:dyDescent="0.3">
      <c r="A21" s="46"/>
      <c r="B21" s="46"/>
      <c r="C21" s="48" t="s">
        <v>100</v>
      </c>
      <c r="D21" s="65" t="s">
        <v>91</v>
      </c>
      <c r="E21" s="47">
        <f>[4]POTENSI!$H$95-40000000</f>
        <v>117300000</v>
      </c>
      <c r="F21" s="47"/>
      <c r="G21" s="47"/>
      <c r="H21" s="47"/>
      <c r="I21" s="47"/>
      <c r="J21" s="47"/>
      <c r="K21" s="47"/>
      <c r="L21" s="47"/>
    </row>
    <row r="22" spans="1:12" ht="15.6" x14ac:dyDescent="0.3">
      <c r="A22" s="46"/>
      <c r="B22" s="46"/>
      <c r="C22" s="48" t="s">
        <v>101</v>
      </c>
      <c r="D22" s="65" t="s">
        <v>91</v>
      </c>
      <c r="E22" s="47">
        <f>[4]POTENSI!$H$115-25000000</f>
        <v>96000000</v>
      </c>
      <c r="F22" s="47"/>
      <c r="G22" s="47"/>
      <c r="H22" s="47"/>
      <c r="I22" s="47"/>
      <c r="J22" s="47"/>
      <c r="K22" s="47"/>
      <c r="L22" s="47">
        <f t="shared" si="0"/>
        <v>96000000</v>
      </c>
    </row>
    <row r="23" spans="1:12" ht="15.6" x14ac:dyDescent="0.3">
      <c r="A23" s="46"/>
      <c r="B23" s="46"/>
      <c r="C23" s="48" t="s">
        <v>102</v>
      </c>
      <c r="D23" s="65" t="s">
        <v>91</v>
      </c>
      <c r="E23" s="47">
        <f>[4]POTENSI!$H$105-15800000</f>
        <v>14450000</v>
      </c>
      <c r="F23" s="47"/>
      <c r="G23" s="47"/>
      <c r="H23" s="47"/>
      <c r="I23" s="47"/>
      <c r="J23" s="47"/>
      <c r="K23" s="47"/>
      <c r="L23" s="47">
        <f t="shared" si="0"/>
        <v>14450000</v>
      </c>
    </row>
    <row r="24" spans="1:12" ht="15.6" x14ac:dyDescent="0.3">
      <c r="A24" s="46"/>
      <c r="B24" s="46"/>
      <c r="C24" s="48" t="s">
        <v>103</v>
      </c>
      <c r="D24" s="65" t="s">
        <v>91</v>
      </c>
      <c r="E24" s="47">
        <f>[4]POTENSI!$H$125-15000000</f>
        <v>469000000</v>
      </c>
      <c r="F24" s="47"/>
      <c r="G24" s="47"/>
      <c r="H24" s="47"/>
      <c r="I24" s="47"/>
      <c r="J24" s="47"/>
      <c r="K24" s="47"/>
      <c r="L24" s="47">
        <f t="shared" si="0"/>
        <v>469000000</v>
      </c>
    </row>
    <row r="25" spans="1:12" ht="15.6" x14ac:dyDescent="0.3">
      <c r="A25" s="46"/>
      <c r="B25" s="46"/>
      <c r="C25" s="48" t="s">
        <v>104</v>
      </c>
      <c r="D25" s="65" t="s">
        <v>91</v>
      </c>
      <c r="E25" s="47">
        <f>SUM(35*500000)+SUM(35*500000)</f>
        <v>35000000</v>
      </c>
      <c r="F25" s="47"/>
      <c r="G25" s="47"/>
      <c r="H25" s="47"/>
      <c r="I25" s="47"/>
      <c r="J25" s="47"/>
      <c r="K25" s="47"/>
      <c r="L25" s="47">
        <f t="shared" si="0"/>
        <v>35000000</v>
      </c>
    </row>
    <row r="26" spans="1:12" ht="15.6" x14ac:dyDescent="0.3">
      <c r="A26" s="46"/>
      <c r="B26" s="46"/>
      <c r="C26" s="46" t="s">
        <v>105</v>
      </c>
      <c r="D26" s="65" t="s">
        <v>91</v>
      </c>
      <c r="E26" s="47">
        <f>35000000</f>
        <v>35000000</v>
      </c>
      <c r="F26" s="47"/>
      <c r="G26" s="47"/>
      <c r="H26" s="47"/>
      <c r="I26" s="47"/>
      <c r="J26" s="47"/>
      <c r="K26" s="47"/>
      <c r="L26" s="47">
        <f t="shared" si="0"/>
        <v>35000000</v>
      </c>
    </row>
    <row r="27" spans="1:12" ht="15.6" x14ac:dyDescent="0.3">
      <c r="A27" s="46"/>
      <c r="B27" s="46"/>
      <c r="C27" s="46" t="s">
        <v>106</v>
      </c>
      <c r="D27" s="65" t="s">
        <v>91</v>
      </c>
      <c r="E27" s="47">
        <f>750000000/4</f>
        <v>187500000</v>
      </c>
      <c r="F27" s="47"/>
      <c r="G27" s="47"/>
      <c r="H27" s="47"/>
      <c r="I27" s="47"/>
      <c r="J27" s="47"/>
      <c r="K27" s="47"/>
      <c r="L27" s="47"/>
    </row>
    <row r="28" spans="1:12" ht="15.6" x14ac:dyDescent="0.3">
      <c r="A28" s="46"/>
      <c r="B28" s="46"/>
      <c r="C28" s="48" t="s">
        <v>107</v>
      </c>
      <c r="D28" s="65" t="s">
        <v>91</v>
      </c>
      <c r="E28" s="47">
        <f>2*25000000</f>
        <v>50000000</v>
      </c>
      <c r="F28" s="47"/>
      <c r="G28" s="47"/>
      <c r="H28" s="47"/>
      <c r="I28" s="47"/>
      <c r="J28" s="47"/>
      <c r="K28" s="47"/>
      <c r="L28" s="47">
        <f t="shared" si="0"/>
        <v>50000000</v>
      </c>
    </row>
    <row r="29" spans="1:12" ht="15.6" x14ac:dyDescent="0.3">
      <c r="A29" s="46"/>
      <c r="B29" s="46"/>
      <c r="C29" s="48" t="s">
        <v>108</v>
      </c>
      <c r="D29" s="65" t="s">
        <v>91</v>
      </c>
      <c r="E29" s="47"/>
      <c r="F29" s="47"/>
      <c r="G29" s="47"/>
      <c r="H29" s="47"/>
      <c r="I29" s="47"/>
      <c r="J29" s="47"/>
      <c r="K29" s="47"/>
      <c r="L29" s="47">
        <f t="shared" si="0"/>
        <v>0</v>
      </c>
    </row>
    <row r="30" spans="1:12" ht="15.6" x14ac:dyDescent="0.3">
      <c r="A30" s="46"/>
      <c r="B30" s="46"/>
      <c r="C30" s="46" t="s">
        <v>109</v>
      </c>
      <c r="D30" s="65" t="s">
        <v>110</v>
      </c>
      <c r="E30" s="47"/>
      <c r="F30" s="47"/>
      <c r="G30" s="47"/>
      <c r="H30" s="47"/>
      <c r="I30" s="47"/>
      <c r="J30" s="47"/>
      <c r="K30" s="47"/>
      <c r="L30" s="47">
        <f t="shared" si="0"/>
        <v>0</v>
      </c>
    </row>
    <row r="31" spans="1:12" ht="15.6" x14ac:dyDescent="0.3">
      <c r="A31" s="46"/>
      <c r="B31" s="46"/>
      <c r="C31" s="46" t="s">
        <v>111</v>
      </c>
      <c r="D31" s="65" t="s">
        <v>110</v>
      </c>
      <c r="E31" s="47"/>
      <c r="F31" s="47"/>
      <c r="G31" s="47"/>
      <c r="H31" s="47"/>
      <c r="I31" s="47"/>
      <c r="J31" s="47"/>
      <c r="K31" s="47"/>
      <c r="L31" s="47">
        <f t="shared" si="0"/>
        <v>0</v>
      </c>
    </row>
    <row r="32" spans="1:12" ht="15.6" x14ac:dyDescent="0.3">
      <c r="A32" s="46"/>
      <c r="B32" s="46"/>
      <c r="C32" s="46" t="s">
        <v>112</v>
      </c>
      <c r="D32" s="65" t="s">
        <v>110</v>
      </c>
      <c r="E32" s="47"/>
      <c r="F32" s="47"/>
      <c r="G32" s="47"/>
      <c r="H32" s="47"/>
      <c r="I32" s="47"/>
      <c r="J32" s="47"/>
      <c r="K32" s="47"/>
      <c r="L32" s="47">
        <f t="shared" si="0"/>
        <v>0</v>
      </c>
    </row>
    <row r="33" spans="1:12" ht="15.6" x14ac:dyDescent="0.3">
      <c r="A33" s="46"/>
      <c r="B33" s="46"/>
      <c r="C33" s="46" t="s">
        <v>113</v>
      </c>
      <c r="D33" s="65" t="s">
        <v>110</v>
      </c>
      <c r="E33" s="47"/>
      <c r="F33" s="47"/>
      <c r="G33" s="47"/>
      <c r="H33" s="47"/>
      <c r="I33" s="47"/>
      <c r="J33" s="47"/>
      <c r="K33" s="47"/>
      <c r="L33" s="47">
        <f t="shared" si="0"/>
        <v>0</v>
      </c>
    </row>
    <row r="34" spans="1:12" ht="15.6" x14ac:dyDescent="0.3">
      <c r="A34" s="46"/>
      <c r="B34" s="46"/>
      <c r="C34" s="46" t="s">
        <v>114</v>
      </c>
      <c r="D34" s="65" t="s">
        <v>110</v>
      </c>
      <c r="E34" s="47"/>
      <c r="F34" s="47"/>
      <c r="G34" s="47"/>
      <c r="H34" s="47"/>
      <c r="I34" s="47"/>
      <c r="J34" s="47"/>
      <c r="K34" s="47"/>
      <c r="L34" s="47">
        <f t="shared" si="0"/>
        <v>0</v>
      </c>
    </row>
    <row r="35" spans="1:12" ht="15.6" x14ac:dyDescent="0.3">
      <c r="A35" s="46"/>
      <c r="B35" s="46"/>
      <c r="C35" s="46" t="s">
        <v>115</v>
      </c>
      <c r="D35" s="65" t="s">
        <v>110</v>
      </c>
      <c r="E35" s="47"/>
      <c r="F35" s="47"/>
      <c r="G35" s="47"/>
      <c r="H35" s="47"/>
      <c r="I35" s="47"/>
      <c r="J35" s="47"/>
      <c r="K35" s="47"/>
      <c r="L35" s="47">
        <f t="shared" si="0"/>
        <v>0</v>
      </c>
    </row>
    <row r="36" spans="1:12" ht="15.6" x14ac:dyDescent="0.3">
      <c r="A36" s="46"/>
      <c r="B36" s="46"/>
      <c r="C36" s="46" t="s">
        <v>116</v>
      </c>
      <c r="D36" s="65" t="s">
        <v>110</v>
      </c>
      <c r="E36" s="47"/>
      <c r="F36" s="47"/>
      <c r="G36" s="47"/>
      <c r="H36" s="47"/>
      <c r="I36" s="47"/>
      <c r="J36" s="47"/>
      <c r="K36" s="47"/>
      <c r="L36" s="47">
        <f t="shared" si="0"/>
        <v>0</v>
      </c>
    </row>
    <row r="37" spans="1:12" ht="15.6" x14ac:dyDescent="0.3">
      <c r="A37" s="46"/>
      <c r="B37" s="46"/>
      <c r="C37" s="46" t="s">
        <v>117</v>
      </c>
      <c r="D37" s="65" t="s">
        <v>110</v>
      </c>
      <c r="E37" s="47">
        <f>3*20000000</f>
        <v>60000000</v>
      </c>
      <c r="F37" s="47"/>
      <c r="G37" s="47"/>
      <c r="H37" s="47"/>
      <c r="I37" s="47"/>
      <c r="J37" s="47"/>
      <c r="K37" s="47"/>
      <c r="L37" s="47">
        <f t="shared" si="0"/>
        <v>60000000</v>
      </c>
    </row>
    <row r="38" spans="1:12" ht="15.6" x14ac:dyDescent="0.3">
      <c r="A38" s="46"/>
      <c r="B38" s="46"/>
      <c r="C38" s="46" t="s">
        <v>118</v>
      </c>
      <c r="D38" s="65" t="s">
        <v>110</v>
      </c>
      <c r="E38" s="47"/>
      <c r="F38" s="47"/>
      <c r="G38" s="47"/>
      <c r="H38" s="47"/>
      <c r="I38" s="47"/>
      <c r="J38" s="47"/>
      <c r="K38" s="47"/>
      <c r="L38" s="47">
        <f t="shared" si="0"/>
        <v>0</v>
      </c>
    </row>
    <row r="39" spans="1:12" ht="15.6" x14ac:dyDescent="0.3">
      <c r="A39" s="46"/>
      <c r="B39" s="46"/>
      <c r="C39" s="46" t="s">
        <v>119</v>
      </c>
      <c r="D39" s="65" t="s">
        <v>110</v>
      </c>
      <c r="E39" s="47"/>
      <c r="F39" s="47"/>
      <c r="G39" s="47"/>
      <c r="H39" s="47"/>
      <c r="I39" s="47"/>
      <c r="J39" s="47"/>
      <c r="K39" s="47"/>
      <c r="L39" s="47">
        <f t="shared" si="0"/>
        <v>0</v>
      </c>
    </row>
    <row r="40" spans="1:12" ht="31.2" x14ac:dyDescent="0.3">
      <c r="A40" s="46"/>
      <c r="B40" s="46"/>
      <c r="C40" s="66" t="s">
        <v>120</v>
      </c>
      <c r="D40" s="65" t="s">
        <v>110</v>
      </c>
      <c r="E40" s="47"/>
      <c r="F40" s="47"/>
      <c r="G40" s="47"/>
      <c r="H40" s="47"/>
      <c r="I40" s="47"/>
      <c r="J40" s="47"/>
      <c r="K40" s="47"/>
      <c r="L40" s="47">
        <f t="shared" si="0"/>
        <v>0</v>
      </c>
    </row>
    <row r="41" spans="1:12" ht="15.6" x14ac:dyDescent="0.3">
      <c r="A41" s="46"/>
      <c r="B41" s="46"/>
      <c r="C41" s="46" t="s">
        <v>121</v>
      </c>
      <c r="D41" s="65" t="s">
        <v>110</v>
      </c>
      <c r="E41" s="47"/>
      <c r="F41" s="47"/>
      <c r="G41" s="47"/>
      <c r="H41" s="47"/>
      <c r="I41" s="47"/>
      <c r="J41" s="47"/>
      <c r="K41" s="47"/>
      <c r="L41" s="47">
        <f t="shared" si="0"/>
        <v>0</v>
      </c>
    </row>
    <row r="42" spans="1:12" ht="15.6" x14ac:dyDescent="0.3">
      <c r="A42" s="46"/>
      <c r="B42" s="46"/>
      <c r="C42" s="46" t="s">
        <v>122</v>
      </c>
      <c r="D42" s="65"/>
      <c r="E42" s="47"/>
      <c r="F42" s="47"/>
      <c r="G42" s="47"/>
      <c r="H42" s="47"/>
      <c r="I42" s="47"/>
      <c r="J42" s="47"/>
      <c r="K42" s="47"/>
      <c r="L42" s="47">
        <f t="shared" si="0"/>
        <v>0</v>
      </c>
    </row>
    <row r="43" spans="1:12" ht="15.6" x14ac:dyDescent="0.3">
      <c r="A43" s="46"/>
      <c r="B43" s="46"/>
      <c r="C43" s="45" t="s">
        <v>123</v>
      </c>
      <c r="D43" s="65"/>
      <c r="E43" s="93">
        <f>SUM(E11:E42)</f>
        <v>2086850000</v>
      </c>
      <c r="F43" s="47">
        <f t="shared" ref="F43:L43" si="1">SUM(F11:F42)</f>
        <v>0</v>
      </c>
      <c r="G43" s="47">
        <f t="shared" si="1"/>
        <v>0</v>
      </c>
      <c r="H43" s="47">
        <f t="shared" si="1"/>
        <v>0</v>
      </c>
      <c r="I43" s="47">
        <f t="shared" si="1"/>
        <v>0</v>
      </c>
      <c r="J43" s="47">
        <f t="shared" si="1"/>
        <v>0</v>
      </c>
      <c r="K43" s="47">
        <f t="shared" si="1"/>
        <v>0</v>
      </c>
      <c r="L43" s="47">
        <f t="shared" si="1"/>
        <v>1517050000</v>
      </c>
    </row>
    <row r="44" spans="1:12" ht="15.6" x14ac:dyDescent="0.3">
      <c r="A44" s="46"/>
      <c r="B44" s="46"/>
      <c r="C44" s="45" t="s">
        <v>124</v>
      </c>
      <c r="D44" s="65"/>
      <c r="E44" s="47"/>
      <c r="F44" s="47"/>
      <c r="G44" s="47"/>
      <c r="H44" s="47"/>
      <c r="I44" s="47"/>
      <c r="J44" s="47"/>
      <c r="K44" s="47"/>
      <c r="L44" s="47"/>
    </row>
    <row r="45" spans="1:12" ht="15.6" x14ac:dyDescent="0.3">
      <c r="A45" s="46"/>
      <c r="B45" s="46"/>
      <c r="C45" s="46" t="s">
        <v>125</v>
      </c>
      <c r="D45" s="65" t="s">
        <v>91</v>
      </c>
      <c r="E45" s="47">
        <f>1600000000</f>
        <v>1600000000</v>
      </c>
      <c r="F45" s="47"/>
      <c r="G45" s="47"/>
      <c r="H45" s="47"/>
      <c r="I45" s="47"/>
      <c r="J45" s="47"/>
      <c r="K45" s="47"/>
      <c r="L45" s="47">
        <f t="shared" ref="L45:L55" si="2">SUM(E45:K45)</f>
        <v>1600000000</v>
      </c>
    </row>
    <row r="46" spans="1:12" ht="15.6" x14ac:dyDescent="0.3">
      <c r="A46" s="46"/>
      <c r="B46" s="46"/>
      <c r="C46" s="46" t="s">
        <v>126</v>
      </c>
      <c r="D46" s="65" t="s">
        <v>91</v>
      </c>
      <c r="E46" s="47">
        <f>150000000</f>
        <v>150000000</v>
      </c>
      <c r="F46" s="47"/>
      <c r="G46" s="47"/>
      <c r="H46" s="47"/>
      <c r="I46" s="47"/>
      <c r="J46" s="47"/>
      <c r="K46" s="47"/>
      <c r="L46" s="47">
        <f t="shared" si="2"/>
        <v>150000000</v>
      </c>
    </row>
    <row r="47" spans="1:12" ht="15.6" x14ac:dyDescent="0.3">
      <c r="A47" s="46"/>
      <c r="B47" s="46"/>
      <c r="C47" s="46" t="s">
        <v>127</v>
      </c>
      <c r="D47" s="65" t="s">
        <v>91</v>
      </c>
      <c r="E47" s="47"/>
      <c r="F47" s="47"/>
      <c r="G47" s="47"/>
      <c r="H47" s="47"/>
      <c r="I47" s="47"/>
      <c r="J47" s="47"/>
      <c r="K47" s="47"/>
      <c r="L47" s="47">
        <f t="shared" si="2"/>
        <v>0</v>
      </c>
    </row>
    <row r="48" spans="1:12" ht="15.6" x14ac:dyDescent="0.3">
      <c r="A48" s="46"/>
      <c r="B48" s="46"/>
      <c r="C48" s="46" t="s">
        <v>128</v>
      </c>
      <c r="D48" s="65" t="s">
        <v>91</v>
      </c>
      <c r="E48" s="47"/>
      <c r="F48" s="47"/>
      <c r="G48" s="47"/>
      <c r="H48" s="47"/>
      <c r="I48" s="47"/>
      <c r="J48" s="47"/>
      <c r="K48" s="47"/>
      <c r="L48" s="47">
        <f t="shared" si="2"/>
        <v>0</v>
      </c>
    </row>
    <row r="49" spans="1:12" ht="15.6" x14ac:dyDescent="0.3">
      <c r="A49" s="46"/>
      <c r="B49" s="46"/>
      <c r="C49" s="46" t="s">
        <v>129</v>
      </c>
      <c r="D49" s="65" t="s">
        <v>91</v>
      </c>
      <c r="E49" s="47"/>
      <c r="F49" s="47"/>
      <c r="G49" s="47"/>
      <c r="H49" s="47"/>
      <c r="I49" s="47"/>
      <c r="J49" s="47"/>
      <c r="K49" s="47"/>
      <c r="L49" s="47">
        <f t="shared" si="2"/>
        <v>0</v>
      </c>
    </row>
    <row r="50" spans="1:12" ht="15.6" x14ac:dyDescent="0.3">
      <c r="A50" s="46"/>
      <c r="B50" s="46"/>
      <c r="C50" s="46" t="s">
        <v>130</v>
      </c>
      <c r="D50" s="65" t="s">
        <v>91</v>
      </c>
      <c r="E50" s="47"/>
      <c r="F50" s="47"/>
      <c r="G50" s="47"/>
      <c r="H50" s="47"/>
      <c r="I50" s="47"/>
      <c r="J50" s="47"/>
      <c r="K50" s="47"/>
      <c r="L50" s="47">
        <f t="shared" si="2"/>
        <v>0</v>
      </c>
    </row>
    <row r="51" spans="1:12" ht="15.6" x14ac:dyDescent="0.3">
      <c r="A51" s="46"/>
      <c r="B51" s="46"/>
      <c r="C51" s="46" t="s">
        <v>131</v>
      </c>
      <c r="D51" s="65" t="s">
        <v>91</v>
      </c>
      <c r="E51" s="47"/>
      <c r="F51" s="47"/>
      <c r="G51" s="47"/>
      <c r="H51" s="47"/>
      <c r="I51" s="47"/>
      <c r="J51" s="47"/>
      <c r="K51" s="47"/>
      <c r="L51" s="47">
        <f t="shared" si="2"/>
        <v>0</v>
      </c>
    </row>
    <row r="52" spans="1:12" ht="15.6" x14ac:dyDescent="0.3">
      <c r="A52" s="46"/>
      <c r="B52" s="46"/>
      <c r="C52" s="46" t="s">
        <v>132</v>
      </c>
      <c r="D52" s="65" t="s">
        <v>91</v>
      </c>
      <c r="E52" s="47"/>
      <c r="F52" s="47"/>
      <c r="G52" s="47"/>
      <c r="H52" s="47"/>
      <c r="I52" s="47"/>
      <c r="J52" s="47"/>
      <c r="K52" s="47"/>
      <c r="L52" s="47">
        <f t="shared" si="2"/>
        <v>0</v>
      </c>
    </row>
    <row r="53" spans="1:12" ht="15.6" x14ac:dyDescent="0.3">
      <c r="A53" s="46"/>
      <c r="B53" s="46"/>
      <c r="C53" s="46" t="s">
        <v>133</v>
      </c>
      <c r="D53" s="65" t="s">
        <v>91</v>
      </c>
      <c r="E53" s="47"/>
      <c r="F53" s="47"/>
      <c r="G53" s="47"/>
      <c r="H53" s="47"/>
      <c r="I53" s="47"/>
      <c r="J53" s="47"/>
      <c r="K53" s="47"/>
      <c r="L53" s="47">
        <f t="shared" si="2"/>
        <v>0</v>
      </c>
    </row>
    <row r="54" spans="1:12" ht="15.6" x14ac:dyDescent="0.3">
      <c r="A54" s="46"/>
      <c r="B54" s="46"/>
      <c r="C54" s="46" t="s">
        <v>134</v>
      </c>
      <c r="D54" s="65" t="s">
        <v>91</v>
      </c>
      <c r="E54" s="47"/>
      <c r="F54" s="47"/>
      <c r="G54" s="47"/>
      <c r="H54" s="47"/>
      <c r="I54" s="47"/>
      <c r="J54" s="47"/>
      <c r="K54" s="47"/>
      <c r="L54" s="47">
        <f t="shared" si="2"/>
        <v>0</v>
      </c>
    </row>
    <row r="55" spans="1:12" ht="15.6" x14ac:dyDescent="0.3">
      <c r="A55" s="46"/>
      <c r="B55" s="46"/>
      <c r="C55" s="46" t="s">
        <v>122</v>
      </c>
      <c r="D55" s="65" t="s">
        <v>91</v>
      </c>
      <c r="E55" s="47"/>
      <c r="F55" s="47"/>
      <c r="G55" s="47"/>
      <c r="H55" s="47"/>
      <c r="I55" s="47"/>
      <c r="J55" s="47"/>
      <c r="K55" s="47"/>
      <c r="L55" s="47">
        <f t="shared" si="2"/>
        <v>0</v>
      </c>
    </row>
    <row r="56" spans="1:12" ht="15.6" x14ac:dyDescent="0.3">
      <c r="A56" s="46"/>
      <c r="B56" s="46"/>
      <c r="C56" s="45" t="s">
        <v>123</v>
      </c>
      <c r="D56" s="65"/>
      <c r="E56" s="93">
        <f>SUM(E45:E55)</f>
        <v>1750000000</v>
      </c>
      <c r="F56" s="47">
        <f t="shared" ref="F56:L56" si="3">SUM(F45:F55)</f>
        <v>0</v>
      </c>
      <c r="G56" s="47">
        <f t="shared" si="3"/>
        <v>0</v>
      </c>
      <c r="H56" s="47">
        <f t="shared" si="3"/>
        <v>0</v>
      </c>
      <c r="I56" s="47">
        <f t="shared" si="3"/>
        <v>0</v>
      </c>
      <c r="J56" s="47">
        <f t="shared" si="3"/>
        <v>0</v>
      </c>
      <c r="K56" s="47">
        <f t="shared" si="3"/>
        <v>0</v>
      </c>
      <c r="L56" s="47">
        <f t="shared" si="3"/>
        <v>1750000000</v>
      </c>
    </row>
    <row r="57" spans="1:12" ht="15.6" x14ac:dyDescent="0.3">
      <c r="A57" s="46"/>
      <c r="B57" s="52"/>
      <c r="C57" s="45" t="s">
        <v>135</v>
      </c>
      <c r="D57" s="65"/>
      <c r="E57" s="47"/>
      <c r="F57" s="47"/>
      <c r="G57" s="47"/>
      <c r="H57" s="47"/>
      <c r="I57" s="47"/>
      <c r="J57" s="47"/>
      <c r="K57" s="47"/>
      <c r="L57" s="47"/>
    </row>
    <row r="58" spans="1:12" ht="15.6" x14ac:dyDescent="0.3">
      <c r="A58" s="46"/>
      <c r="B58" s="46"/>
      <c r="C58" s="46" t="s">
        <v>136</v>
      </c>
      <c r="D58" s="65" t="s">
        <v>91</v>
      </c>
      <c r="E58" s="47">
        <f>100000000</f>
        <v>100000000</v>
      </c>
      <c r="F58" s="47"/>
      <c r="G58" s="47"/>
      <c r="H58" s="47"/>
      <c r="I58" s="47"/>
      <c r="J58" s="47"/>
      <c r="K58" s="47"/>
      <c r="L58" s="47">
        <f>SUM(E58:K58)</f>
        <v>100000000</v>
      </c>
    </row>
    <row r="59" spans="1:12" ht="15.6" x14ac:dyDescent="0.3">
      <c r="A59" s="46"/>
      <c r="B59" s="46"/>
      <c r="C59" s="46" t="s">
        <v>137</v>
      </c>
      <c r="D59" s="65" t="s">
        <v>91</v>
      </c>
      <c r="E59" s="47">
        <f>35000000</f>
        <v>35000000</v>
      </c>
      <c r="F59" s="47"/>
      <c r="G59" s="47"/>
      <c r="H59" s="47"/>
      <c r="I59" s="47"/>
      <c r="J59" s="47"/>
      <c r="K59" s="47"/>
      <c r="L59" s="47">
        <f>SUM(E59:K59)</f>
        <v>35000000</v>
      </c>
    </row>
    <row r="60" spans="1:12" ht="15.6" x14ac:dyDescent="0.3">
      <c r="A60" s="46"/>
      <c r="B60" s="46"/>
      <c r="C60" s="46" t="s">
        <v>138</v>
      </c>
      <c r="D60" s="65" t="s">
        <v>91</v>
      </c>
      <c r="E60" s="47">
        <f>35000000</f>
        <v>35000000</v>
      </c>
      <c r="F60" s="47"/>
      <c r="G60" s="47"/>
      <c r="H60" s="47"/>
      <c r="I60" s="47"/>
      <c r="J60" s="47"/>
      <c r="K60" s="47"/>
      <c r="L60" s="47"/>
    </row>
    <row r="61" spans="1:12" ht="15.6" x14ac:dyDescent="0.3">
      <c r="A61" s="46"/>
      <c r="B61" s="46"/>
      <c r="C61" s="46" t="s">
        <v>139</v>
      </c>
      <c r="D61" s="65" t="s">
        <v>91</v>
      </c>
      <c r="E61" s="47">
        <f>SUM(3000000*12)</f>
        <v>36000000</v>
      </c>
      <c r="F61" s="47"/>
      <c r="G61" s="47"/>
      <c r="H61" s="47"/>
      <c r="I61" s="47"/>
      <c r="J61" s="47"/>
      <c r="K61" s="47"/>
      <c r="L61" s="47"/>
    </row>
    <row r="62" spans="1:12" ht="15.6" x14ac:dyDescent="0.3">
      <c r="A62" s="46"/>
      <c r="B62" s="46"/>
      <c r="C62" s="46" t="s">
        <v>140</v>
      </c>
      <c r="D62" s="65" t="s">
        <v>91</v>
      </c>
      <c r="E62" s="47">
        <f>SUM(7000000*12)</f>
        <v>84000000</v>
      </c>
      <c r="F62" s="47"/>
      <c r="G62" s="47"/>
      <c r="H62" s="47"/>
      <c r="I62" s="47"/>
      <c r="J62" s="47"/>
      <c r="K62" s="47"/>
      <c r="L62" s="47"/>
    </row>
    <row r="63" spans="1:12" ht="15.6" x14ac:dyDescent="0.3">
      <c r="A63" s="46"/>
      <c r="B63" s="46"/>
      <c r="C63" s="46" t="s">
        <v>141</v>
      </c>
      <c r="D63" s="65" t="s">
        <v>91</v>
      </c>
      <c r="E63" s="47">
        <f>SUM(4000000*4)</f>
        <v>16000000</v>
      </c>
      <c r="F63" s="47"/>
      <c r="G63" s="47"/>
      <c r="H63" s="47"/>
      <c r="I63" s="47"/>
      <c r="J63" s="47"/>
      <c r="K63" s="47"/>
      <c r="L63" s="47"/>
    </row>
    <row r="64" spans="1:12" ht="15.6" x14ac:dyDescent="0.3">
      <c r="A64" s="46"/>
      <c r="B64" s="46"/>
      <c r="C64" s="46"/>
      <c r="D64" s="65"/>
      <c r="E64" s="47"/>
      <c r="F64" s="47"/>
      <c r="G64" s="47"/>
      <c r="H64" s="47"/>
      <c r="I64" s="47"/>
      <c r="J64" s="47"/>
      <c r="K64" s="47"/>
      <c r="L64" s="47"/>
    </row>
    <row r="65" spans="1:12" ht="15.6" x14ac:dyDescent="0.3">
      <c r="A65" s="46"/>
      <c r="B65" s="46"/>
      <c r="C65" s="46" t="s">
        <v>142</v>
      </c>
      <c r="D65" s="65"/>
      <c r="E65" s="47"/>
      <c r="F65" s="47"/>
      <c r="G65" s="47"/>
      <c r="H65" s="47"/>
      <c r="I65" s="47"/>
      <c r="J65" s="47"/>
      <c r="K65" s="47"/>
      <c r="L65" s="47"/>
    </row>
    <row r="66" spans="1:12" ht="15.6" x14ac:dyDescent="0.3">
      <c r="A66" s="46"/>
      <c r="B66" s="46"/>
      <c r="C66" s="45" t="s">
        <v>123</v>
      </c>
      <c r="D66" s="65"/>
      <c r="E66" s="93">
        <f>SUM(E58:E63)</f>
        <v>306000000</v>
      </c>
      <c r="F66" s="47">
        <f t="shared" ref="F66:L66" si="4">SUM(F58:F60)</f>
        <v>0</v>
      </c>
      <c r="G66" s="47">
        <f t="shared" si="4"/>
        <v>0</v>
      </c>
      <c r="H66" s="47">
        <f t="shared" si="4"/>
        <v>0</v>
      </c>
      <c r="I66" s="47">
        <f t="shared" si="4"/>
        <v>0</v>
      </c>
      <c r="J66" s="47">
        <f t="shared" si="4"/>
        <v>0</v>
      </c>
      <c r="K66" s="47">
        <f t="shared" si="4"/>
        <v>0</v>
      </c>
      <c r="L66" s="47">
        <f t="shared" si="4"/>
        <v>135000000</v>
      </c>
    </row>
    <row r="67" spans="1:12" ht="15.6" x14ac:dyDescent="0.3">
      <c r="A67" s="46"/>
      <c r="B67" s="46"/>
      <c r="C67" s="45" t="s">
        <v>143</v>
      </c>
      <c r="D67" s="65"/>
      <c r="E67" s="47"/>
      <c r="F67" s="47"/>
      <c r="G67" s="47"/>
      <c r="H67" s="47"/>
      <c r="I67" s="47"/>
      <c r="J67" s="47"/>
      <c r="K67" s="47"/>
      <c r="L67" s="47"/>
    </row>
    <row r="68" spans="1:12" ht="15.6" x14ac:dyDescent="0.3">
      <c r="A68" s="46"/>
      <c r="B68" s="46"/>
      <c r="C68" s="46" t="s">
        <v>144</v>
      </c>
      <c r="D68" s="65" t="s">
        <v>110</v>
      </c>
      <c r="E68" s="47"/>
      <c r="F68" s="47"/>
      <c r="G68" s="47"/>
      <c r="H68" s="47"/>
      <c r="I68" s="47"/>
      <c r="J68" s="47"/>
      <c r="K68" s="47"/>
      <c r="L68" s="47">
        <f t="shared" ref="L68:L81" si="5">SUM(E68:K68)</f>
        <v>0</v>
      </c>
    </row>
    <row r="69" spans="1:12" ht="15.6" x14ac:dyDescent="0.3">
      <c r="A69" s="46"/>
      <c r="B69" s="46"/>
      <c r="C69" s="46" t="s">
        <v>145</v>
      </c>
      <c r="D69" s="65" t="s">
        <v>110</v>
      </c>
      <c r="E69" s="47"/>
      <c r="F69" s="47"/>
      <c r="G69" s="47"/>
      <c r="H69" s="47"/>
      <c r="I69" s="47"/>
      <c r="J69" s="47"/>
      <c r="K69" s="47"/>
      <c r="L69" s="47">
        <f t="shared" si="5"/>
        <v>0</v>
      </c>
    </row>
    <row r="70" spans="1:12" ht="15.6" x14ac:dyDescent="0.3">
      <c r="A70" s="46"/>
      <c r="B70" s="46"/>
      <c r="C70" s="46" t="s">
        <v>146</v>
      </c>
      <c r="D70" s="65" t="s">
        <v>110</v>
      </c>
      <c r="E70" s="47"/>
      <c r="F70" s="47"/>
      <c r="G70" s="47"/>
      <c r="H70" s="47"/>
      <c r="I70" s="47"/>
      <c r="J70" s="47"/>
      <c r="K70" s="47"/>
      <c r="L70" s="47">
        <f t="shared" si="5"/>
        <v>0</v>
      </c>
    </row>
    <row r="71" spans="1:12" ht="15.6" x14ac:dyDescent="0.3">
      <c r="A71" s="46"/>
      <c r="B71" s="46"/>
      <c r="C71" s="46" t="s">
        <v>147</v>
      </c>
      <c r="D71" s="65" t="s">
        <v>110</v>
      </c>
      <c r="E71" s="47"/>
      <c r="F71" s="47"/>
      <c r="G71" s="47"/>
      <c r="H71" s="47"/>
      <c r="I71" s="47"/>
      <c r="J71" s="47"/>
      <c r="K71" s="47"/>
      <c r="L71" s="47">
        <f t="shared" si="5"/>
        <v>0</v>
      </c>
    </row>
    <row r="72" spans="1:12" ht="15.6" x14ac:dyDescent="0.3">
      <c r="A72" s="46"/>
      <c r="B72" s="46"/>
      <c r="C72" s="46" t="s">
        <v>148</v>
      </c>
      <c r="D72" s="65" t="s">
        <v>110</v>
      </c>
      <c r="E72" s="47"/>
      <c r="F72" s="47"/>
      <c r="G72" s="47"/>
      <c r="H72" s="47"/>
      <c r="I72" s="47"/>
      <c r="J72" s="47"/>
      <c r="K72" s="47"/>
      <c r="L72" s="47">
        <f t="shared" si="5"/>
        <v>0</v>
      </c>
    </row>
    <row r="73" spans="1:12" ht="15.6" x14ac:dyDescent="0.3">
      <c r="A73" s="46"/>
      <c r="B73" s="46"/>
      <c r="C73" s="46" t="s">
        <v>149</v>
      </c>
      <c r="D73" s="65" t="s">
        <v>110</v>
      </c>
      <c r="E73" s="47"/>
      <c r="F73" s="47"/>
      <c r="G73" s="47"/>
      <c r="H73" s="47"/>
      <c r="I73" s="47"/>
      <c r="J73" s="47"/>
      <c r="K73" s="47"/>
      <c r="L73" s="47">
        <f t="shared" si="5"/>
        <v>0</v>
      </c>
    </row>
    <row r="74" spans="1:12" ht="15.6" x14ac:dyDescent="0.3">
      <c r="A74" s="46"/>
      <c r="B74" s="46"/>
      <c r="C74" s="46" t="s">
        <v>150</v>
      </c>
      <c r="D74" s="65" t="s">
        <v>110</v>
      </c>
      <c r="E74" s="47"/>
      <c r="F74" s="47"/>
      <c r="G74" s="47"/>
      <c r="H74" s="47"/>
      <c r="I74" s="47"/>
      <c r="J74" s="47"/>
      <c r="K74" s="47"/>
      <c r="L74" s="47">
        <f t="shared" si="5"/>
        <v>0</v>
      </c>
    </row>
    <row r="75" spans="1:12" ht="15.6" x14ac:dyDescent="0.3">
      <c r="A75" s="46"/>
      <c r="B75" s="46"/>
      <c r="C75" s="46" t="s">
        <v>151</v>
      </c>
      <c r="D75" s="65" t="s">
        <v>110</v>
      </c>
      <c r="E75" s="47"/>
      <c r="F75" s="47"/>
      <c r="G75" s="47"/>
      <c r="H75" s="47"/>
      <c r="I75" s="47"/>
      <c r="J75" s="47"/>
      <c r="K75" s="47"/>
      <c r="L75" s="47">
        <f t="shared" si="5"/>
        <v>0</v>
      </c>
    </row>
    <row r="76" spans="1:12" ht="15.6" x14ac:dyDescent="0.3">
      <c r="A76" s="46"/>
      <c r="B76" s="46"/>
      <c r="C76" s="46" t="s">
        <v>152</v>
      </c>
      <c r="D76" s="65" t="s">
        <v>110</v>
      </c>
      <c r="E76" s="47"/>
      <c r="F76" s="47"/>
      <c r="G76" s="47"/>
      <c r="H76" s="47"/>
      <c r="I76" s="47"/>
      <c r="J76" s="47"/>
      <c r="K76" s="47"/>
      <c r="L76" s="47">
        <f t="shared" si="5"/>
        <v>0</v>
      </c>
    </row>
    <row r="77" spans="1:12" ht="15.6" x14ac:dyDescent="0.3">
      <c r="A77" s="46"/>
      <c r="B77" s="46"/>
      <c r="C77" s="46" t="s">
        <v>153</v>
      </c>
      <c r="D77" s="65" t="s">
        <v>110</v>
      </c>
      <c r="E77" s="47"/>
      <c r="F77" s="47"/>
      <c r="G77" s="47"/>
      <c r="H77" s="47"/>
      <c r="I77" s="47"/>
      <c r="J77" s="47"/>
      <c r="K77" s="47"/>
      <c r="L77" s="47">
        <f t="shared" si="5"/>
        <v>0</v>
      </c>
    </row>
    <row r="78" spans="1:12" ht="15.6" x14ac:dyDescent="0.3">
      <c r="A78" s="46"/>
      <c r="B78" s="46"/>
      <c r="C78" s="46" t="s">
        <v>154</v>
      </c>
      <c r="D78" s="65" t="s">
        <v>110</v>
      </c>
      <c r="E78" s="47"/>
      <c r="F78" s="47"/>
      <c r="G78" s="47"/>
      <c r="H78" s="47"/>
      <c r="I78" s="47"/>
      <c r="J78" s="47"/>
      <c r="K78" s="47"/>
      <c r="L78" s="47">
        <f t="shared" si="5"/>
        <v>0</v>
      </c>
    </row>
    <row r="79" spans="1:12" ht="15.6" x14ac:dyDescent="0.3">
      <c r="A79" s="46"/>
      <c r="B79" s="46"/>
      <c r="C79" s="46" t="s">
        <v>155</v>
      </c>
      <c r="D79" s="65" t="s">
        <v>110</v>
      </c>
      <c r="E79" s="47"/>
      <c r="F79" s="47"/>
      <c r="G79" s="47"/>
      <c r="H79" s="47"/>
      <c r="I79" s="47"/>
      <c r="J79" s="47"/>
      <c r="K79" s="47"/>
      <c r="L79" s="47">
        <f t="shared" si="5"/>
        <v>0</v>
      </c>
    </row>
    <row r="80" spans="1:12" ht="15.6" x14ac:dyDescent="0.3">
      <c r="A80" s="46"/>
      <c r="B80" s="46"/>
      <c r="C80" s="46" t="s">
        <v>156</v>
      </c>
      <c r="D80" s="65" t="s">
        <v>110</v>
      </c>
      <c r="E80" s="47"/>
      <c r="F80" s="47"/>
      <c r="G80" s="47"/>
      <c r="H80" s="47"/>
      <c r="I80" s="47"/>
      <c r="J80" s="47"/>
      <c r="K80" s="47"/>
      <c r="L80" s="47">
        <f t="shared" si="5"/>
        <v>0</v>
      </c>
    </row>
    <row r="81" spans="1:12" ht="15.6" x14ac:dyDescent="0.3">
      <c r="A81" s="46"/>
      <c r="B81" s="46"/>
      <c r="C81" s="46" t="s">
        <v>157</v>
      </c>
      <c r="D81" s="65" t="s">
        <v>110</v>
      </c>
      <c r="E81" s="47"/>
      <c r="F81" s="47"/>
      <c r="G81" s="47"/>
      <c r="H81" s="47"/>
      <c r="I81" s="47"/>
      <c r="J81" s="47"/>
      <c r="K81" s="47"/>
      <c r="L81" s="47">
        <f t="shared" si="5"/>
        <v>0</v>
      </c>
    </row>
    <row r="82" spans="1:12" ht="15.6" x14ac:dyDescent="0.3">
      <c r="A82" s="46"/>
      <c r="B82" s="46"/>
      <c r="C82" s="45" t="s">
        <v>123</v>
      </c>
      <c r="D82" s="65"/>
      <c r="E82" s="47">
        <f>SUM(E68:E81)</f>
        <v>0</v>
      </c>
      <c r="F82" s="47">
        <f t="shared" ref="F82:L82" si="6">SUM(F68:F81)</f>
        <v>0</v>
      </c>
      <c r="G82" s="47">
        <f t="shared" si="6"/>
        <v>0</v>
      </c>
      <c r="H82" s="47">
        <f t="shared" si="6"/>
        <v>0</v>
      </c>
      <c r="I82" s="47">
        <f t="shared" si="6"/>
        <v>0</v>
      </c>
      <c r="J82" s="47">
        <f t="shared" si="6"/>
        <v>0</v>
      </c>
      <c r="K82" s="47">
        <f t="shared" si="6"/>
        <v>0</v>
      </c>
      <c r="L82" s="47">
        <f t="shared" si="6"/>
        <v>0</v>
      </c>
    </row>
    <row r="83" spans="1:12" ht="15.6" x14ac:dyDescent="0.3">
      <c r="A83" s="46"/>
      <c r="B83" s="46"/>
      <c r="C83" s="45" t="s">
        <v>158</v>
      </c>
      <c r="D83" s="65"/>
      <c r="E83" s="47"/>
      <c r="F83" s="47"/>
      <c r="G83" s="47"/>
      <c r="H83" s="47"/>
      <c r="I83" s="47"/>
      <c r="J83" s="47"/>
      <c r="K83" s="47"/>
      <c r="L83" s="47"/>
    </row>
    <row r="84" spans="1:12" ht="15.6" x14ac:dyDescent="0.3">
      <c r="A84" s="46"/>
      <c r="B84" s="46"/>
      <c r="C84" s="46" t="s">
        <v>159</v>
      </c>
      <c r="D84" s="65" t="s">
        <v>110</v>
      </c>
      <c r="E84" s="47"/>
      <c r="F84" s="47"/>
      <c r="G84" s="47"/>
      <c r="H84" s="47"/>
      <c r="I84" s="47"/>
      <c r="J84" s="47"/>
      <c r="K84" s="47"/>
      <c r="L84" s="47">
        <f>SUM(E84:K84)</f>
        <v>0</v>
      </c>
    </row>
    <row r="85" spans="1:12" ht="15.6" x14ac:dyDescent="0.3">
      <c r="A85" s="46"/>
      <c r="B85" s="46"/>
      <c r="C85" s="46" t="s">
        <v>160</v>
      </c>
      <c r="D85" s="65" t="s">
        <v>110</v>
      </c>
      <c r="E85" s="47">
        <f>20*6000000</f>
        <v>120000000</v>
      </c>
      <c r="F85" s="47"/>
      <c r="G85" s="47"/>
      <c r="H85" s="47"/>
      <c r="I85" s="47"/>
      <c r="J85" s="47"/>
      <c r="K85" s="47"/>
      <c r="L85" s="47">
        <f>SUM(E85:K85)</f>
        <v>120000000</v>
      </c>
    </row>
    <row r="86" spans="1:12" ht="15.6" x14ac:dyDescent="0.3">
      <c r="A86" s="46"/>
      <c r="B86" s="46"/>
      <c r="C86" s="46" t="s">
        <v>161</v>
      </c>
      <c r="D86" s="65" t="s">
        <v>110</v>
      </c>
      <c r="E86" s="47">
        <f>SUM(20*2000000*2)</f>
        <v>80000000</v>
      </c>
      <c r="F86" s="47"/>
      <c r="G86" s="47"/>
      <c r="H86" s="47"/>
      <c r="I86" s="47"/>
      <c r="J86" s="47"/>
      <c r="K86" s="47"/>
      <c r="L86" s="47">
        <f>SUM(E86:K86)</f>
        <v>80000000</v>
      </c>
    </row>
    <row r="87" spans="1:12" ht="15.6" x14ac:dyDescent="0.3">
      <c r="A87" s="46"/>
      <c r="B87" s="46"/>
      <c r="C87" s="46" t="s">
        <v>162</v>
      </c>
      <c r="D87" s="65" t="s">
        <v>110</v>
      </c>
      <c r="E87" s="47"/>
      <c r="F87" s="47"/>
      <c r="G87" s="47"/>
      <c r="H87" s="47"/>
      <c r="I87" s="47"/>
      <c r="J87" s="47"/>
      <c r="K87" s="47"/>
      <c r="L87" s="47">
        <f>SUM(E87:K87)</f>
        <v>0</v>
      </c>
    </row>
    <row r="88" spans="1:12" ht="15.6" x14ac:dyDescent="0.3">
      <c r="A88" s="46"/>
      <c r="B88" s="46"/>
      <c r="C88" s="45" t="s">
        <v>123</v>
      </c>
      <c r="D88" s="65"/>
      <c r="E88" s="93">
        <f>SUM(E84:E87)</f>
        <v>200000000</v>
      </c>
      <c r="F88" s="47">
        <f t="shared" ref="F88:L88" si="7">SUM(F84:F87)</f>
        <v>0</v>
      </c>
      <c r="G88" s="47">
        <f t="shared" si="7"/>
        <v>0</v>
      </c>
      <c r="H88" s="47">
        <f t="shared" si="7"/>
        <v>0</v>
      </c>
      <c r="I88" s="47">
        <f t="shared" si="7"/>
        <v>0</v>
      </c>
      <c r="J88" s="47">
        <f t="shared" si="7"/>
        <v>0</v>
      </c>
      <c r="K88" s="47">
        <f t="shared" si="7"/>
        <v>0</v>
      </c>
      <c r="L88" s="47">
        <f t="shared" si="7"/>
        <v>200000000</v>
      </c>
    </row>
    <row r="89" spans="1:12" ht="15.6" x14ac:dyDescent="0.3">
      <c r="A89" s="46"/>
      <c r="B89" s="46"/>
      <c r="C89" s="45" t="s">
        <v>163</v>
      </c>
      <c r="D89" s="65"/>
      <c r="E89" s="47"/>
      <c r="F89" s="47"/>
      <c r="G89" s="47"/>
      <c r="H89" s="47"/>
      <c r="I89" s="47"/>
      <c r="J89" s="47"/>
      <c r="K89" s="47"/>
      <c r="L89" s="47"/>
    </row>
    <row r="90" spans="1:12" ht="15.6" x14ac:dyDescent="0.3">
      <c r="A90" s="46"/>
      <c r="B90" s="46"/>
      <c r="C90" s="46" t="s">
        <v>203</v>
      </c>
      <c r="D90" s="65" t="s">
        <v>91</v>
      </c>
      <c r="E90" s="47">
        <f>15000000*8</f>
        <v>120000000</v>
      </c>
      <c r="F90" s="47"/>
      <c r="G90" s="47"/>
      <c r="H90" s="47"/>
      <c r="I90" s="47"/>
      <c r="J90" s="47"/>
      <c r="K90" s="47"/>
      <c r="L90" s="47">
        <f>SUM(E90:K90)</f>
        <v>120000000</v>
      </c>
    </row>
    <row r="91" spans="1:12" ht="15.6" x14ac:dyDescent="0.3">
      <c r="A91" s="46"/>
      <c r="B91" s="46"/>
      <c r="C91" s="46" t="s">
        <v>164</v>
      </c>
      <c r="D91" s="65" t="s">
        <v>91</v>
      </c>
      <c r="E91" s="47"/>
      <c r="F91" s="47"/>
      <c r="G91" s="47"/>
      <c r="H91" s="47"/>
      <c r="I91" s="47"/>
      <c r="J91" s="47"/>
      <c r="K91" s="47"/>
      <c r="L91" s="47">
        <f>SUM(E91:K91)</f>
        <v>0</v>
      </c>
    </row>
    <row r="92" spans="1:12" ht="15.6" x14ac:dyDescent="0.3">
      <c r="A92" s="46"/>
      <c r="B92" s="46"/>
      <c r="C92" s="46" t="s">
        <v>162</v>
      </c>
      <c r="D92" s="65"/>
      <c r="E92" s="47"/>
      <c r="F92" s="47"/>
      <c r="G92" s="47"/>
      <c r="H92" s="47"/>
      <c r="I92" s="47"/>
      <c r="J92" s="47"/>
      <c r="K92" s="47"/>
      <c r="L92" s="47"/>
    </row>
    <row r="93" spans="1:12" ht="15.6" x14ac:dyDescent="0.3">
      <c r="A93" s="46"/>
      <c r="B93" s="46"/>
      <c r="C93" s="45" t="s">
        <v>123</v>
      </c>
      <c r="D93" s="65"/>
      <c r="E93" s="93">
        <f>SUM(E90:E92)</f>
        <v>120000000</v>
      </c>
      <c r="F93" s="47">
        <f t="shared" ref="F93:L93" si="8">SUM(F90:F92)</f>
        <v>0</v>
      </c>
      <c r="G93" s="47">
        <f t="shared" si="8"/>
        <v>0</v>
      </c>
      <c r="H93" s="47">
        <f t="shared" si="8"/>
        <v>0</v>
      </c>
      <c r="I93" s="47">
        <f t="shared" si="8"/>
        <v>0</v>
      </c>
      <c r="J93" s="47">
        <f t="shared" si="8"/>
        <v>0</v>
      </c>
      <c r="K93" s="47">
        <f t="shared" si="8"/>
        <v>0</v>
      </c>
      <c r="L93" s="47">
        <f t="shared" si="8"/>
        <v>120000000</v>
      </c>
    </row>
    <row r="94" spans="1:12" ht="15.6" x14ac:dyDescent="0.3">
      <c r="A94" s="46"/>
      <c r="B94" s="46"/>
      <c r="C94" s="45" t="s">
        <v>165</v>
      </c>
      <c r="D94" s="65"/>
      <c r="E94" s="47"/>
      <c r="F94" s="47"/>
      <c r="G94" s="47"/>
      <c r="H94" s="47"/>
      <c r="I94" s="47"/>
      <c r="J94" s="47"/>
      <c r="K94" s="47"/>
      <c r="L94" s="47"/>
    </row>
    <row r="95" spans="1:12" ht="15.6" x14ac:dyDescent="0.3">
      <c r="A95" s="46"/>
      <c r="B95" s="46"/>
      <c r="C95" s="46" t="s">
        <v>166</v>
      </c>
      <c r="D95" s="65" t="s">
        <v>91</v>
      </c>
      <c r="E95" s="47">
        <f>50000000</f>
        <v>50000000</v>
      </c>
      <c r="F95" s="47"/>
      <c r="G95" s="47"/>
      <c r="H95" s="47"/>
      <c r="I95" s="47"/>
      <c r="J95" s="47"/>
      <c r="K95" s="47"/>
      <c r="L95" s="47">
        <f>SUM(E95:K95)</f>
        <v>50000000</v>
      </c>
    </row>
    <row r="96" spans="1:12" ht="15.6" x14ac:dyDescent="0.3">
      <c r="A96" s="46"/>
      <c r="B96" s="46"/>
      <c r="C96" s="46" t="s">
        <v>162</v>
      </c>
      <c r="D96" s="65"/>
      <c r="E96" s="47"/>
      <c r="F96" s="47"/>
      <c r="G96" s="47"/>
      <c r="H96" s="47"/>
      <c r="I96" s="47"/>
      <c r="J96" s="47"/>
      <c r="K96" s="47"/>
      <c r="L96" s="47"/>
    </row>
    <row r="97" spans="1:12" ht="15.6" x14ac:dyDescent="0.3">
      <c r="A97" s="46"/>
      <c r="B97" s="46"/>
      <c r="C97" s="45" t="s">
        <v>123</v>
      </c>
      <c r="D97" s="65"/>
      <c r="E97" s="93">
        <f>SUM(E95:E96)</f>
        <v>50000000</v>
      </c>
      <c r="F97" s="47">
        <f t="shared" ref="F97:K97" si="9">SUM(F95:F96)</f>
        <v>0</v>
      </c>
      <c r="G97" s="47">
        <f t="shared" si="9"/>
        <v>0</v>
      </c>
      <c r="H97" s="47">
        <f t="shared" si="9"/>
        <v>0</v>
      </c>
      <c r="I97" s="47">
        <f t="shared" si="9"/>
        <v>0</v>
      </c>
      <c r="J97" s="47">
        <f t="shared" si="9"/>
        <v>0</v>
      </c>
      <c r="K97" s="47">
        <f t="shared" si="9"/>
        <v>0</v>
      </c>
      <c r="L97" s="47">
        <f>SUM(E97:K97)</f>
        <v>50000000</v>
      </c>
    </row>
    <row r="98" spans="1:12" ht="15.6" x14ac:dyDescent="0.3">
      <c r="A98" s="46"/>
      <c r="B98" s="46"/>
      <c r="C98" s="46"/>
      <c r="D98" s="65"/>
      <c r="E98" s="47"/>
      <c r="F98" s="47"/>
      <c r="G98" s="47"/>
      <c r="H98" s="47"/>
      <c r="I98" s="47"/>
      <c r="J98" s="47"/>
      <c r="K98" s="47"/>
      <c r="L98" s="47"/>
    </row>
    <row r="99" spans="1:12" ht="15.6" x14ac:dyDescent="0.3">
      <c r="A99" s="46"/>
      <c r="B99" s="46"/>
      <c r="C99" s="45" t="s">
        <v>167</v>
      </c>
      <c r="D99" s="65"/>
      <c r="E99" s="92">
        <f>E97+E93+E88+E82+E66+E56+E43</f>
        <v>4512850000</v>
      </c>
      <c r="F99" s="47">
        <f t="shared" ref="F99:K99" si="10">F97+F93+F88+F82+F66+F56+F43</f>
        <v>0</v>
      </c>
      <c r="G99" s="47">
        <f t="shared" si="10"/>
        <v>0</v>
      </c>
      <c r="H99" s="47">
        <f t="shared" si="10"/>
        <v>0</v>
      </c>
      <c r="I99" s="47">
        <f t="shared" si="10"/>
        <v>0</v>
      </c>
      <c r="J99" s="47">
        <f t="shared" si="10"/>
        <v>0</v>
      </c>
      <c r="K99" s="47">
        <f t="shared" si="10"/>
        <v>0</v>
      </c>
      <c r="L99" s="47">
        <f>SUM(E99:K99)</f>
        <v>4512850000</v>
      </c>
    </row>
    <row r="100" spans="1:12" ht="15.6" x14ac:dyDescent="0.3">
      <c r="A100" s="67"/>
      <c r="B100" s="67"/>
      <c r="C100" s="68" t="s">
        <v>168</v>
      </c>
      <c r="D100" s="68"/>
      <c r="E100" s="69"/>
      <c r="F100" s="69"/>
      <c r="G100" s="69"/>
      <c r="H100" s="69"/>
      <c r="I100" s="69"/>
      <c r="J100" s="69"/>
      <c r="K100" s="69"/>
      <c r="L100" s="69"/>
    </row>
    <row r="101" spans="1:12" ht="15.6" x14ac:dyDescent="0.3">
      <c r="A101" s="46"/>
      <c r="B101" s="46"/>
      <c r="C101" s="46" t="s">
        <v>169</v>
      </c>
      <c r="D101" s="65" t="s">
        <v>91</v>
      </c>
      <c r="E101" s="47"/>
      <c r="F101" s="47">
        <v>4</v>
      </c>
      <c r="G101" s="47">
        <v>5</v>
      </c>
      <c r="H101" s="47">
        <v>6</v>
      </c>
      <c r="I101" s="47">
        <v>7</v>
      </c>
      <c r="J101" s="47">
        <v>8</v>
      </c>
      <c r="K101" s="47">
        <v>9</v>
      </c>
      <c r="L101" s="47">
        <f>SUM(E101:K101)</f>
        <v>39</v>
      </c>
    </row>
    <row r="102" spans="1:12" ht="15.6" x14ac:dyDescent="0.3">
      <c r="A102" s="46"/>
      <c r="B102" s="46"/>
      <c r="C102" s="46" t="s">
        <v>170</v>
      </c>
      <c r="D102" s="65" t="s">
        <v>110</v>
      </c>
      <c r="E102" s="47"/>
      <c r="F102" s="47"/>
      <c r="G102" s="47"/>
      <c r="H102" s="47"/>
      <c r="I102" s="47"/>
      <c r="J102" s="47"/>
      <c r="K102" s="47"/>
      <c r="L102" s="47">
        <f>SUM(E102:K102)</f>
        <v>0</v>
      </c>
    </row>
    <row r="103" spans="1:12" ht="15.6" x14ac:dyDescent="0.3">
      <c r="A103" s="46"/>
      <c r="B103" s="46"/>
      <c r="C103" s="46"/>
      <c r="D103" s="65"/>
      <c r="E103" s="47"/>
      <c r="F103" s="47"/>
      <c r="G103" s="47"/>
      <c r="H103" s="47"/>
      <c r="I103" s="47"/>
      <c r="J103" s="47"/>
      <c r="K103" s="47"/>
      <c r="L103" s="47"/>
    </row>
    <row r="104" spans="1:12" ht="15.6" x14ac:dyDescent="0.3">
      <c r="A104" s="46"/>
      <c r="B104" s="46"/>
      <c r="C104" s="45" t="s">
        <v>171</v>
      </c>
      <c r="D104" s="46"/>
      <c r="E104" s="47">
        <f>SUM(E101:E103)</f>
        <v>0</v>
      </c>
      <c r="F104" s="47">
        <f t="shared" ref="F104:L104" si="11">SUM(F101:F103)</f>
        <v>4</v>
      </c>
      <c r="G104" s="47">
        <f t="shared" si="11"/>
        <v>5</v>
      </c>
      <c r="H104" s="47">
        <f t="shared" si="11"/>
        <v>6</v>
      </c>
      <c r="I104" s="47">
        <f t="shared" si="11"/>
        <v>7</v>
      </c>
      <c r="J104" s="47">
        <f t="shared" si="11"/>
        <v>8</v>
      </c>
      <c r="K104" s="47">
        <f t="shared" si="11"/>
        <v>9</v>
      </c>
      <c r="L104" s="47">
        <f t="shared" si="11"/>
        <v>39</v>
      </c>
    </row>
    <row r="105" spans="1:12" ht="15.6" x14ac:dyDescent="0.3">
      <c r="A105" s="67"/>
      <c r="B105" s="67"/>
      <c r="C105" s="68" t="s">
        <v>172</v>
      </c>
      <c r="D105" s="67"/>
      <c r="E105" s="69"/>
      <c r="F105" s="69"/>
      <c r="G105" s="69"/>
      <c r="H105" s="69"/>
      <c r="I105" s="69"/>
      <c r="J105" s="69"/>
      <c r="K105" s="69"/>
      <c r="L105" s="69"/>
    </row>
    <row r="106" spans="1:12" ht="15.6" x14ac:dyDescent="0.3">
      <c r="A106" s="46"/>
      <c r="B106" s="46"/>
      <c r="C106" s="46" t="s">
        <v>173</v>
      </c>
      <c r="D106" s="65" t="s">
        <v>91</v>
      </c>
      <c r="E106" s="47"/>
      <c r="F106" s="47"/>
      <c r="G106" s="47"/>
      <c r="H106" s="47"/>
      <c r="I106" s="47"/>
      <c r="J106" s="47"/>
      <c r="K106" s="47"/>
      <c r="L106" s="47">
        <f>SUM(E106:K106)</f>
        <v>0</v>
      </c>
    </row>
    <row r="107" spans="1:12" ht="15.6" x14ac:dyDescent="0.3">
      <c r="A107" s="46"/>
      <c r="B107" s="46"/>
      <c r="C107" s="46" t="s">
        <v>174</v>
      </c>
      <c r="D107" s="46"/>
      <c r="E107" s="47"/>
      <c r="F107" s="47"/>
      <c r="G107" s="47"/>
      <c r="H107" s="47"/>
      <c r="I107" s="47"/>
      <c r="J107" s="47"/>
      <c r="K107" s="47"/>
      <c r="L107" s="47"/>
    </row>
    <row r="108" spans="1:12" ht="15.6" x14ac:dyDescent="0.3">
      <c r="A108" s="46"/>
      <c r="B108" s="46"/>
      <c r="C108" s="45" t="s">
        <v>175</v>
      </c>
      <c r="D108" s="46"/>
      <c r="E108" s="47">
        <f>SUM(E106:E107)</f>
        <v>0</v>
      </c>
      <c r="F108" s="47">
        <f t="shared" ref="F108:L108" si="12">SUM(F106:F107)</f>
        <v>0</v>
      </c>
      <c r="G108" s="47">
        <f t="shared" si="12"/>
        <v>0</v>
      </c>
      <c r="H108" s="47">
        <f t="shared" si="12"/>
        <v>0</v>
      </c>
      <c r="I108" s="47">
        <f t="shared" si="12"/>
        <v>0</v>
      </c>
      <c r="J108" s="47">
        <f t="shared" si="12"/>
        <v>0</v>
      </c>
      <c r="K108" s="47">
        <f t="shared" si="12"/>
        <v>0</v>
      </c>
      <c r="L108" s="47">
        <f t="shared" si="12"/>
        <v>0</v>
      </c>
    </row>
    <row r="109" spans="1:12" ht="15.6" x14ac:dyDescent="0.3">
      <c r="A109" s="46"/>
      <c r="B109" s="46"/>
      <c r="C109" s="46"/>
      <c r="D109" s="46"/>
      <c r="E109" s="47"/>
      <c r="F109" s="47"/>
      <c r="G109" s="47"/>
      <c r="H109" s="47"/>
      <c r="I109" s="47"/>
      <c r="J109" s="47"/>
      <c r="K109" s="47"/>
      <c r="L109" s="47"/>
    </row>
    <row r="110" spans="1:12" ht="15.6" x14ac:dyDescent="0.3">
      <c r="A110" s="70"/>
      <c r="B110" s="70"/>
      <c r="C110" s="70" t="s">
        <v>176</v>
      </c>
      <c r="D110" s="70"/>
      <c r="E110" s="47"/>
      <c r="F110" s="47"/>
      <c r="G110" s="47"/>
      <c r="H110" s="47"/>
      <c r="I110" s="47"/>
      <c r="J110" s="47"/>
      <c r="K110" s="47"/>
      <c r="L110" s="47"/>
    </row>
    <row r="111" spans="1:12" ht="15.6" x14ac:dyDescent="0.3">
      <c r="A111" s="71"/>
      <c r="B111" s="71"/>
      <c r="C111" s="33" t="s">
        <v>66</v>
      </c>
      <c r="D111" s="71"/>
      <c r="E111" s="51">
        <f>E108+E104+E99</f>
        <v>4512850000</v>
      </c>
      <c r="F111" s="51">
        <f t="shared" ref="F111:L111" si="13">F108+F104+F99</f>
        <v>4</v>
      </c>
      <c r="G111" s="51">
        <f t="shared" si="13"/>
        <v>5</v>
      </c>
      <c r="H111" s="51">
        <f t="shared" si="13"/>
        <v>6</v>
      </c>
      <c r="I111" s="51">
        <f t="shared" si="13"/>
        <v>7</v>
      </c>
      <c r="J111" s="51">
        <f t="shared" si="13"/>
        <v>8</v>
      </c>
      <c r="K111" s="51">
        <f t="shared" si="13"/>
        <v>9</v>
      </c>
      <c r="L111" s="51">
        <f t="shared" si="13"/>
        <v>4512850039</v>
      </c>
    </row>
    <row r="112" spans="1:12" x14ac:dyDescent="0.3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spans="1:12" x14ac:dyDescent="0.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1:12" x14ac:dyDescent="0.3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spans="1:12" ht="15.6" x14ac:dyDescent="0.3">
      <c r="A115" s="72"/>
      <c r="B115" s="73"/>
      <c r="C115" s="73"/>
      <c r="D115" s="25"/>
      <c r="E115" s="25"/>
      <c r="F115" s="25"/>
      <c r="G115" s="25"/>
      <c r="H115" s="25"/>
      <c r="I115" s="25"/>
      <c r="J115" s="25"/>
      <c r="K115" s="25"/>
      <c r="L115" s="25"/>
    </row>
    <row r="116" spans="1:12" ht="15.6" x14ac:dyDescent="0.3">
      <c r="A116" s="74" t="s">
        <v>91</v>
      </c>
      <c r="B116" s="75" t="s">
        <v>177</v>
      </c>
      <c r="C116" s="73" t="s">
        <v>178</v>
      </c>
      <c r="D116" s="25"/>
      <c r="E116" s="25"/>
      <c r="F116" s="25"/>
      <c r="G116" s="25"/>
      <c r="H116" s="25"/>
      <c r="I116" s="25"/>
      <c r="J116" s="25"/>
      <c r="K116" s="25"/>
      <c r="L116" s="25"/>
    </row>
    <row r="117" spans="1:12" ht="15.6" x14ac:dyDescent="0.3">
      <c r="A117" s="74" t="s">
        <v>110</v>
      </c>
      <c r="B117" s="76" t="s">
        <v>177</v>
      </c>
      <c r="C117" s="73" t="s">
        <v>179</v>
      </c>
      <c r="D117" s="25"/>
      <c r="E117" s="25"/>
      <c r="F117" s="25"/>
      <c r="G117" s="25"/>
      <c r="H117" s="25"/>
      <c r="I117" s="25"/>
      <c r="J117" s="25"/>
      <c r="K117" s="25"/>
      <c r="L117" s="25"/>
    </row>
    <row r="118" spans="1:12" ht="15.6" x14ac:dyDescent="0.3">
      <c r="A118" s="72"/>
      <c r="B118" s="73"/>
      <c r="C118" s="73"/>
      <c r="D118" s="25"/>
      <c r="E118" s="25"/>
      <c r="F118" s="25"/>
      <c r="G118" s="25"/>
      <c r="H118" s="25"/>
      <c r="I118" s="25"/>
      <c r="J118" s="25"/>
      <c r="K118" s="25"/>
      <c r="L118" s="25"/>
    </row>
    <row r="119" spans="1:12" ht="15.6" x14ac:dyDescent="0.3">
      <c r="A119" s="72"/>
      <c r="B119" s="73"/>
      <c r="C119" s="73"/>
      <c r="D119" s="25"/>
      <c r="E119" s="25"/>
      <c r="F119" s="25"/>
      <c r="G119" s="25"/>
      <c r="H119" s="25"/>
      <c r="I119" s="25"/>
      <c r="J119" s="25"/>
      <c r="K119" s="25"/>
      <c r="L119" s="25"/>
    </row>
    <row r="120" spans="1:12" ht="15.6" x14ac:dyDescent="0.3">
      <c r="A120" s="72"/>
      <c r="B120" s="73"/>
      <c r="C120" s="73"/>
      <c r="D120" s="25"/>
      <c r="E120" s="25"/>
      <c r="F120" s="25"/>
      <c r="G120" s="25"/>
      <c r="H120" s="25"/>
      <c r="I120" s="25"/>
      <c r="J120" s="25"/>
      <c r="K120" s="25"/>
      <c r="L120" s="25"/>
    </row>
    <row r="121" spans="1:12" x14ac:dyDescent="0.3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spans="1:12" x14ac:dyDescent="0.3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spans="1:12" x14ac:dyDescent="0.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spans="1:12" x14ac:dyDescent="0.3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</sheetData>
  <mergeCells count="6">
    <mergeCell ref="A1:L1"/>
    <mergeCell ref="A2:L2"/>
    <mergeCell ref="A3:L3"/>
    <mergeCell ref="A4:L4"/>
    <mergeCell ref="D6:D7"/>
    <mergeCell ref="E6:K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9EAE-472C-4F72-9B5A-6CF694B9BBC6}">
  <dimension ref="A1:J40"/>
  <sheetViews>
    <sheetView showGridLines="0" topLeftCell="A16" workbookViewId="0">
      <selection activeCell="J19" sqref="J19"/>
    </sheetView>
  </sheetViews>
  <sheetFormatPr defaultColWidth="8.77734375" defaultRowHeight="14.4" x14ac:dyDescent="0.3"/>
  <cols>
    <col min="1" max="1" width="4.77734375" style="24" customWidth="1"/>
    <col min="2" max="2" width="28" style="24" customWidth="1"/>
    <col min="3" max="8" width="15.77734375" style="24" customWidth="1"/>
    <col min="9" max="9" width="19.77734375" style="24" customWidth="1"/>
    <col min="10" max="16384" width="8.77734375" style="24"/>
  </cols>
  <sheetData>
    <row r="1" spans="1:10" ht="21" x14ac:dyDescent="0.4">
      <c r="A1" s="126" t="s">
        <v>180</v>
      </c>
      <c r="B1" s="126"/>
      <c r="C1" s="126"/>
      <c r="D1" s="126"/>
      <c r="E1" s="126"/>
      <c r="F1" s="126"/>
      <c r="G1" s="126"/>
      <c r="H1" s="126"/>
      <c r="I1" s="126"/>
      <c r="J1" s="77"/>
    </row>
    <row r="2" spans="1:10" ht="18" x14ac:dyDescent="0.35">
      <c r="A2" s="127" t="s">
        <v>44</v>
      </c>
      <c r="B2" s="127"/>
      <c r="C2" s="127"/>
      <c r="D2" s="127"/>
      <c r="E2" s="127"/>
      <c r="F2" s="127"/>
      <c r="G2" s="127"/>
      <c r="H2" s="127"/>
      <c r="I2" s="127"/>
      <c r="J2" s="78"/>
    </row>
    <row r="3" spans="1:10" ht="18" x14ac:dyDescent="0.35">
      <c r="A3" s="127" t="s">
        <v>11</v>
      </c>
      <c r="B3" s="127"/>
      <c r="C3" s="127"/>
      <c r="D3" s="127"/>
      <c r="E3" s="127"/>
      <c r="F3" s="127"/>
      <c r="G3" s="127"/>
      <c r="H3" s="127"/>
      <c r="I3" s="127"/>
      <c r="J3" s="78"/>
    </row>
    <row r="4" spans="1:10" ht="18" x14ac:dyDescent="0.35">
      <c r="A4" s="127" t="s">
        <v>181</v>
      </c>
      <c r="B4" s="127"/>
      <c r="C4" s="127"/>
      <c r="D4" s="127"/>
      <c r="E4" s="127"/>
      <c r="F4" s="127"/>
      <c r="G4" s="127"/>
      <c r="H4" s="127"/>
      <c r="I4" s="127"/>
      <c r="J4" s="78"/>
    </row>
    <row r="5" spans="1:10" x14ac:dyDescent="0.3">
      <c r="A5" s="25"/>
      <c r="B5" s="25"/>
      <c r="C5" s="25"/>
      <c r="D5" s="25"/>
      <c r="E5" s="25"/>
      <c r="F5" s="25"/>
      <c r="G5" s="25"/>
      <c r="H5" s="25"/>
      <c r="I5" s="25"/>
    </row>
    <row r="6" spans="1:10" ht="35.1" customHeight="1" x14ac:dyDescent="0.3">
      <c r="A6" s="27" t="s">
        <v>182</v>
      </c>
      <c r="B6" s="28" t="s">
        <v>183</v>
      </c>
      <c r="C6" s="128" t="s">
        <v>184</v>
      </c>
      <c r="D6" s="129"/>
      <c r="E6" s="129"/>
      <c r="F6" s="129"/>
      <c r="G6" s="129"/>
      <c r="H6" s="129"/>
      <c r="I6" s="57" t="s">
        <v>49</v>
      </c>
    </row>
    <row r="7" spans="1:10" ht="15.6" x14ac:dyDescent="0.3">
      <c r="A7" s="31"/>
      <c r="B7" s="32"/>
      <c r="C7" s="33" t="s">
        <v>50</v>
      </c>
      <c r="D7" s="33" t="s">
        <v>51</v>
      </c>
      <c r="E7" s="33" t="s">
        <v>52</v>
      </c>
      <c r="F7" s="33" t="s">
        <v>53</v>
      </c>
      <c r="G7" s="33" t="s">
        <v>54</v>
      </c>
      <c r="H7" s="33" t="s">
        <v>55</v>
      </c>
      <c r="I7" s="58"/>
    </row>
    <row r="8" spans="1:10" x14ac:dyDescent="0.3">
      <c r="A8" s="36"/>
      <c r="B8" s="37"/>
      <c r="C8" s="38"/>
      <c r="D8" s="39"/>
      <c r="E8" s="39"/>
      <c r="F8" s="39"/>
      <c r="G8" s="39"/>
      <c r="H8" s="39"/>
      <c r="I8" s="39"/>
    </row>
    <row r="9" spans="1:10" ht="15.6" x14ac:dyDescent="0.3">
      <c r="A9" s="40"/>
      <c r="B9" s="41"/>
      <c r="C9" s="42"/>
      <c r="D9" s="43"/>
      <c r="E9" s="43"/>
      <c r="F9" s="43"/>
      <c r="G9" s="43"/>
      <c r="H9" s="43"/>
      <c r="I9" s="43"/>
    </row>
    <row r="10" spans="1:10" ht="15.6" x14ac:dyDescent="0.3">
      <c r="A10" s="44"/>
      <c r="B10" s="45"/>
      <c r="C10" s="44"/>
      <c r="D10" s="44"/>
      <c r="E10" s="44"/>
      <c r="F10" s="44"/>
      <c r="G10" s="44"/>
      <c r="H10" s="44"/>
      <c r="I10" s="44"/>
    </row>
    <row r="11" spans="1:10" ht="15.6" x14ac:dyDescent="0.3">
      <c r="A11" s="100">
        <v>1</v>
      </c>
      <c r="B11" s="46" t="s">
        <v>185</v>
      </c>
      <c r="C11" s="47">
        <f>'Estimasi Penerimaan Gasal'!D29</f>
        <v>483600000</v>
      </c>
      <c r="D11" s="47">
        <f>'Estimasi Penerimaan Gasal'!E29</f>
        <v>274500000</v>
      </c>
      <c r="E11" s="47">
        <f>'Estimasi Penerimaan Gasal'!F29</f>
        <v>274500000</v>
      </c>
      <c r="F11" s="47">
        <f>'Estimasi Penerimaan Gasal'!G29</f>
        <v>274500000</v>
      </c>
      <c r="G11" s="47">
        <f>'Estimasi Penerimaan Gasal'!H29</f>
        <v>274500000</v>
      </c>
      <c r="H11" s="47">
        <f>'Estimasi Penerimaan Gasal'!I29</f>
        <v>274500000</v>
      </c>
      <c r="I11" s="47">
        <f>SUM(C11:H11)</f>
        <v>1856100000</v>
      </c>
    </row>
    <row r="12" spans="1:10" ht="15.6" x14ac:dyDescent="0.3">
      <c r="A12" s="100"/>
      <c r="B12" s="46"/>
      <c r="C12" s="47"/>
      <c r="D12" s="47"/>
      <c r="E12" s="47"/>
      <c r="F12" s="47"/>
      <c r="G12" s="47"/>
      <c r="H12" s="47"/>
      <c r="I12" s="47"/>
    </row>
    <row r="13" spans="1:10" ht="15.6" x14ac:dyDescent="0.3">
      <c r="A13" s="98" t="s">
        <v>182</v>
      </c>
      <c r="B13" s="99" t="s">
        <v>183</v>
      </c>
      <c r="C13" s="154" t="s">
        <v>184</v>
      </c>
      <c r="D13" s="155"/>
      <c r="E13" s="155"/>
      <c r="F13" s="155"/>
      <c r="G13" s="155"/>
      <c r="H13" s="155"/>
      <c r="I13" s="96"/>
    </row>
    <row r="14" spans="1:10" ht="15.6" x14ac:dyDescent="0.3">
      <c r="A14" s="101"/>
      <c r="B14" s="94"/>
      <c r="C14" s="95" t="s">
        <v>200</v>
      </c>
      <c r="D14" s="95" t="s">
        <v>69</v>
      </c>
      <c r="E14" s="95" t="s">
        <v>70</v>
      </c>
      <c r="F14" s="95" t="s">
        <v>71</v>
      </c>
      <c r="G14" s="95" t="s">
        <v>72</v>
      </c>
      <c r="H14" s="95" t="s">
        <v>73</v>
      </c>
      <c r="I14" s="97"/>
    </row>
    <row r="15" spans="1:10" ht="15.6" x14ac:dyDescent="0.3">
      <c r="A15" s="100">
        <v>2</v>
      </c>
      <c r="B15" s="46" t="s">
        <v>185</v>
      </c>
      <c r="C15" s="47">
        <f>'Estimasi Penerimaan Genap'!$D28</f>
        <v>445875000.00000006</v>
      </c>
      <c r="D15" s="47">
        <f>'Estimasi Penerimaan Genap'!$D28</f>
        <v>445875000.00000006</v>
      </c>
      <c r="E15" s="47">
        <f>'Estimasi Penerimaan Genap'!$D28</f>
        <v>445875000.00000006</v>
      </c>
      <c r="F15" s="47">
        <f>'Estimasi Penerimaan Genap'!$D28</f>
        <v>445875000.00000006</v>
      </c>
      <c r="G15" s="47">
        <f>'Estimasi Penerimaan Genap'!$D28</f>
        <v>445875000.00000006</v>
      </c>
      <c r="H15" s="47">
        <f>'Estimasi Penerimaan Genap'!$D28</f>
        <v>445875000.00000006</v>
      </c>
      <c r="I15" s="47">
        <f>SUM(C15:H15)</f>
        <v>2675250000.0000005</v>
      </c>
    </row>
    <row r="16" spans="1:10" ht="15.6" x14ac:dyDescent="0.3">
      <c r="A16" s="44"/>
      <c r="B16" s="48"/>
      <c r="C16" s="47"/>
      <c r="D16" s="47"/>
      <c r="E16" s="47"/>
      <c r="F16" s="47"/>
      <c r="G16" s="47"/>
      <c r="H16" s="47"/>
      <c r="I16" s="47"/>
    </row>
    <row r="17" spans="1:9" x14ac:dyDescent="0.3">
      <c r="A17" s="44"/>
      <c r="B17" s="44"/>
      <c r="C17" s="47"/>
      <c r="D17" s="47"/>
      <c r="E17" s="47"/>
      <c r="F17" s="47"/>
      <c r="G17" s="47"/>
      <c r="H17" s="47"/>
      <c r="I17" s="47"/>
    </row>
    <row r="18" spans="1:9" ht="15.6" x14ac:dyDescent="0.3">
      <c r="A18" s="50"/>
      <c r="B18" s="147" t="s">
        <v>66</v>
      </c>
      <c r="C18" s="148"/>
      <c r="D18" s="148"/>
      <c r="E18" s="148"/>
      <c r="F18" s="148"/>
      <c r="G18" s="148"/>
      <c r="H18" s="149"/>
      <c r="I18" s="51">
        <f>I11+I15</f>
        <v>4531350000</v>
      </c>
    </row>
    <row r="19" spans="1:9" x14ac:dyDescent="0.3">
      <c r="A19" s="25"/>
      <c r="B19" s="25"/>
      <c r="C19" s="25"/>
      <c r="D19" s="25"/>
      <c r="E19" s="25"/>
      <c r="F19" s="25"/>
      <c r="G19" s="25"/>
      <c r="H19" s="25"/>
      <c r="I19" s="25"/>
    </row>
    <row r="20" spans="1:9" x14ac:dyDescent="0.3">
      <c r="A20" s="25"/>
      <c r="B20" s="25"/>
      <c r="C20" s="25"/>
      <c r="D20" s="25"/>
      <c r="E20" s="25"/>
      <c r="F20" s="25"/>
      <c r="G20" s="25"/>
      <c r="H20" s="25"/>
      <c r="I20" s="25"/>
    </row>
    <row r="21" spans="1:9" x14ac:dyDescent="0.3">
      <c r="A21" s="25"/>
      <c r="B21" s="25"/>
      <c r="C21" s="25"/>
      <c r="D21" s="25"/>
      <c r="E21" s="25"/>
      <c r="F21" s="25"/>
      <c r="G21" s="25"/>
      <c r="H21" s="25"/>
      <c r="I21" s="25"/>
    </row>
    <row r="22" spans="1:9" ht="15.6" x14ac:dyDescent="0.3">
      <c r="A22" s="145" t="s">
        <v>182</v>
      </c>
      <c r="B22" s="156" t="s">
        <v>183</v>
      </c>
      <c r="C22" s="150" t="s">
        <v>184</v>
      </c>
      <c r="D22" s="151"/>
      <c r="E22" s="151"/>
      <c r="F22" s="151"/>
      <c r="G22" s="151"/>
      <c r="H22" s="151"/>
      <c r="I22" s="152" t="s">
        <v>204</v>
      </c>
    </row>
    <row r="23" spans="1:9" ht="16.5" customHeight="1" x14ac:dyDescent="0.3">
      <c r="A23" s="146"/>
      <c r="B23" s="157"/>
      <c r="C23" s="102"/>
      <c r="D23" s="102"/>
      <c r="E23" s="102"/>
      <c r="F23" s="102"/>
      <c r="G23" s="102"/>
      <c r="H23" s="102"/>
      <c r="I23" s="153"/>
    </row>
    <row r="24" spans="1:9" x14ac:dyDescent="0.3">
      <c r="A24" s="36"/>
      <c r="B24" s="37"/>
      <c r="C24" s="38"/>
      <c r="D24" s="39"/>
      <c r="E24" s="39"/>
      <c r="F24" s="39"/>
      <c r="G24" s="39"/>
      <c r="H24" s="39"/>
      <c r="I24" s="39"/>
    </row>
    <row r="25" spans="1:9" ht="15.6" x14ac:dyDescent="0.3">
      <c r="A25" s="40"/>
      <c r="B25" s="41"/>
      <c r="C25" s="42"/>
      <c r="D25" s="43"/>
      <c r="E25" s="43"/>
      <c r="F25" s="43"/>
      <c r="G25" s="43"/>
      <c r="H25" s="43"/>
      <c r="I25" s="43"/>
    </row>
    <row r="26" spans="1:9" ht="15.6" x14ac:dyDescent="0.3">
      <c r="A26" s="44"/>
      <c r="B26" s="45"/>
      <c r="C26" s="44"/>
      <c r="D26" s="44"/>
      <c r="E26" s="44"/>
      <c r="F26" s="44"/>
      <c r="G26" s="44"/>
      <c r="H26" s="44"/>
      <c r="I26" s="44"/>
    </row>
    <row r="27" spans="1:9" ht="15.6" x14ac:dyDescent="0.3">
      <c r="A27" s="100">
        <v>1</v>
      </c>
      <c r="B27" s="46" t="s">
        <v>201</v>
      </c>
      <c r="C27" s="47">
        <f>'[1]Estimasi Penerimaan'!D44</f>
        <v>0</v>
      </c>
      <c r="D27" s="47">
        <f>'[1]Estimasi Penerimaan'!E44</f>
        <v>0</v>
      </c>
      <c r="E27" s="47">
        <f>'[1]Estimasi Penerimaan'!F44</f>
        <v>0</v>
      </c>
      <c r="F27" s="47">
        <f>'[1]Estimasi Penerimaan'!G44</f>
        <v>0</v>
      </c>
      <c r="G27" s="47">
        <f>'[1]Estimasi Penerimaan'!H44</f>
        <v>0</v>
      </c>
      <c r="H27" s="47">
        <f>'[1]Estimasi Penerimaan'!I44</f>
        <v>0</v>
      </c>
      <c r="I27" s="47">
        <f>I18</f>
        <v>4531350000</v>
      </c>
    </row>
    <row r="28" spans="1:9" ht="15.6" x14ac:dyDescent="0.3">
      <c r="A28" s="100"/>
      <c r="B28" s="48"/>
      <c r="C28" s="47"/>
      <c r="D28" s="47"/>
      <c r="E28" s="47"/>
      <c r="F28" s="47"/>
      <c r="G28" s="47"/>
      <c r="H28" s="47"/>
      <c r="I28" s="47"/>
    </row>
    <row r="29" spans="1:9" ht="15.6" x14ac:dyDescent="0.3">
      <c r="A29" s="100">
        <v>2</v>
      </c>
      <c r="B29" s="48" t="s">
        <v>202</v>
      </c>
      <c r="C29" s="47">
        <f>'[1]Rencana Alokasi Anggaran'!E126</f>
        <v>0</v>
      </c>
      <c r="D29" s="47">
        <f>'[1]Rencana Alokasi Anggaran'!F126</f>
        <v>0</v>
      </c>
      <c r="E29" s="47">
        <f>'[1]Rencana Alokasi Anggaran'!G126</f>
        <v>0</v>
      </c>
      <c r="F29" s="47">
        <f>'[1]Rencana Alokasi Anggaran'!H126</f>
        <v>0</v>
      </c>
      <c r="G29" s="47">
        <f>'[1]Rencana Alokasi Anggaran'!I126</f>
        <v>0</v>
      </c>
      <c r="H29" s="47">
        <f>'[1]Rencana Alokasi Anggaran'!J126</f>
        <v>0</v>
      </c>
      <c r="I29" s="47">
        <f>'Rencana Alokasi Anggaran'!E111</f>
        <v>4512850000</v>
      </c>
    </row>
    <row r="30" spans="1:9" ht="15.6" x14ac:dyDescent="0.3">
      <c r="A30" s="44"/>
      <c r="B30" s="48"/>
      <c r="C30" s="47"/>
      <c r="D30" s="47"/>
      <c r="E30" s="47"/>
      <c r="F30" s="47"/>
      <c r="G30" s="47"/>
      <c r="H30" s="47"/>
      <c r="I30" s="47"/>
    </row>
    <row r="31" spans="1:9" x14ac:dyDescent="0.3">
      <c r="A31" s="44"/>
      <c r="B31" s="44"/>
      <c r="C31" s="47"/>
      <c r="D31" s="47"/>
      <c r="E31" s="47"/>
      <c r="F31" s="47"/>
      <c r="G31" s="47"/>
      <c r="H31" s="47"/>
      <c r="I31" s="47"/>
    </row>
    <row r="32" spans="1:9" ht="15.6" x14ac:dyDescent="0.3">
      <c r="A32" s="50"/>
      <c r="B32" s="33" t="s">
        <v>66</v>
      </c>
      <c r="C32" s="51">
        <f>C27-C29</f>
        <v>0</v>
      </c>
      <c r="D32" s="51">
        <f t="shared" ref="D32:I32" si="0">D27-D29</f>
        <v>0</v>
      </c>
      <c r="E32" s="51">
        <f t="shared" si="0"/>
        <v>0</v>
      </c>
      <c r="F32" s="51">
        <f t="shared" si="0"/>
        <v>0</v>
      </c>
      <c r="G32" s="51">
        <f t="shared" si="0"/>
        <v>0</v>
      </c>
      <c r="H32" s="51">
        <f t="shared" si="0"/>
        <v>0</v>
      </c>
      <c r="I32" s="51">
        <f t="shared" si="0"/>
        <v>18500000</v>
      </c>
    </row>
    <row r="33" spans="1:9" x14ac:dyDescent="0.3">
      <c r="A33" s="25"/>
      <c r="B33" s="25"/>
      <c r="C33" s="25"/>
      <c r="D33" s="25"/>
      <c r="E33" s="25"/>
      <c r="F33" s="25"/>
      <c r="G33" s="25"/>
      <c r="H33" s="25"/>
      <c r="I33" s="25"/>
    </row>
    <row r="34" spans="1:9" x14ac:dyDescent="0.3">
      <c r="A34" s="25"/>
      <c r="B34" s="25"/>
      <c r="C34" s="25"/>
      <c r="D34" s="25"/>
      <c r="E34" s="25"/>
      <c r="F34" s="25"/>
      <c r="G34" s="25"/>
      <c r="H34" s="25"/>
      <c r="I34" s="25"/>
    </row>
    <row r="35" spans="1:9" x14ac:dyDescent="0.3">
      <c r="A35" s="25"/>
      <c r="B35" s="25"/>
      <c r="C35" s="25"/>
      <c r="D35" s="25"/>
      <c r="E35" s="25"/>
      <c r="F35" s="25"/>
      <c r="G35" s="25"/>
      <c r="H35" s="25"/>
      <c r="I35" s="25"/>
    </row>
    <row r="36" spans="1:9" x14ac:dyDescent="0.3">
      <c r="A36" s="25"/>
      <c r="B36" s="25"/>
      <c r="C36" s="25"/>
      <c r="D36" s="25"/>
      <c r="E36" s="25"/>
      <c r="F36" s="25"/>
      <c r="G36" s="25"/>
      <c r="H36" s="25"/>
      <c r="I36" s="25"/>
    </row>
    <row r="37" spans="1:9" x14ac:dyDescent="0.3">
      <c r="A37" s="25"/>
      <c r="B37" s="25"/>
      <c r="C37" s="25"/>
      <c r="D37" s="25"/>
      <c r="E37" s="25"/>
      <c r="F37" s="25"/>
      <c r="G37" s="25"/>
      <c r="H37" s="25"/>
      <c r="I37" s="25"/>
    </row>
    <row r="38" spans="1:9" x14ac:dyDescent="0.3">
      <c r="A38" s="25"/>
      <c r="B38" s="25"/>
      <c r="C38" s="25"/>
      <c r="D38" s="25"/>
      <c r="E38" s="25"/>
      <c r="F38" s="25"/>
      <c r="G38" s="25"/>
      <c r="H38" s="25"/>
      <c r="I38" s="25"/>
    </row>
    <row r="39" spans="1:9" x14ac:dyDescent="0.3">
      <c r="A39" s="25"/>
      <c r="B39" s="25"/>
      <c r="C39" s="25"/>
      <c r="D39" s="25"/>
      <c r="E39" s="25"/>
      <c r="F39" s="25"/>
      <c r="G39" s="25"/>
      <c r="H39" s="25"/>
      <c r="I39" s="25"/>
    </row>
    <row r="40" spans="1:9" x14ac:dyDescent="0.3">
      <c r="A40" s="25"/>
      <c r="B40" s="25"/>
      <c r="C40" s="25"/>
      <c r="D40" s="25"/>
      <c r="E40" s="25"/>
      <c r="F40" s="25"/>
      <c r="G40" s="25"/>
      <c r="H40" s="25"/>
      <c r="I40" s="25"/>
    </row>
  </sheetData>
  <mergeCells count="11">
    <mergeCell ref="A1:I1"/>
    <mergeCell ref="A2:I2"/>
    <mergeCell ref="A3:I3"/>
    <mergeCell ref="A4:I4"/>
    <mergeCell ref="C6:H6"/>
    <mergeCell ref="A22:A23"/>
    <mergeCell ref="B18:H18"/>
    <mergeCell ref="C22:H22"/>
    <mergeCell ref="I22:I23"/>
    <mergeCell ref="C13:H13"/>
    <mergeCell ref="B22:B2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D0F5E-6674-459C-B43F-588B2A1CCF88}">
  <dimension ref="A1:K39"/>
  <sheetViews>
    <sheetView showGridLines="0" tabSelected="1" topLeftCell="A4" workbookViewId="0">
      <selection activeCell="L24" sqref="L24"/>
    </sheetView>
  </sheetViews>
  <sheetFormatPr defaultColWidth="8.77734375" defaultRowHeight="14.4" x14ac:dyDescent="0.3"/>
  <cols>
    <col min="1" max="1" width="7.21875" style="24" customWidth="1"/>
    <col min="2" max="2" width="24.77734375" style="24" customWidth="1"/>
    <col min="3" max="9" width="15.77734375" style="24" customWidth="1"/>
    <col min="10" max="10" width="19.77734375" style="24" customWidth="1"/>
    <col min="11" max="16384" width="8.77734375" style="24"/>
  </cols>
  <sheetData>
    <row r="1" spans="1:11" ht="21" x14ac:dyDescent="0.4">
      <c r="A1" s="126" t="s">
        <v>180</v>
      </c>
      <c r="B1" s="126"/>
      <c r="C1" s="126"/>
      <c r="D1" s="126"/>
      <c r="E1" s="126"/>
      <c r="F1" s="126"/>
      <c r="G1" s="126"/>
      <c r="H1" s="126"/>
      <c r="I1" s="126"/>
      <c r="J1" s="126"/>
      <c r="K1" s="77"/>
    </row>
    <row r="2" spans="1:11" ht="18" x14ac:dyDescent="0.35">
      <c r="A2" s="127" t="s">
        <v>44</v>
      </c>
      <c r="B2" s="127"/>
      <c r="C2" s="127"/>
      <c r="D2" s="127"/>
      <c r="E2" s="127"/>
      <c r="F2" s="127"/>
      <c r="G2" s="127"/>
      <c r="H2" s="127"/>
      <c r="I2" s="127"/>
      <c r="J2" s="127"/>
      <c r="K2" s="78"/>
    </row>
    <row r="3" spans="1:11" ht="18" x14ac:dyDescent="0.35">
      <c r="A3" s="127" t="s">
        <v>11</v>
      </c>
      <c r="B3" s="127"/>
      <c r="C3" s="127"/>
      <c r="D3" s="127"/>
      <c r="E3" s="127"/>
      <c r="F3" s="127"/>
      <c r="G3" s="127"/>
      <c r="H3" s="127"/>
      <c r="I3" s="127"/>
      <c r="J3" s="127"/>
      <c r="K3" s="78"/>
    </row>
    <row r="4" spans="1:11" ht="18" x14ac:dyDescent="0.35">
      <c r="A4" s="127" t="s">
        <v>181</v>
      </c>
      <c r="B4" s="127"/>
      <c r="C4" s="127"/>
      <c r="D4" s="127"/>
      <c r="E4" s="127"/>
      <c r="F4" s="127"/>
      <c r="G4" s="127"/>
      <c r="H4" s="127"/>
      <c r="I4" s="127"/>
      <c r="J4" s="127"/>
      <c r="K4" s="78"/>
    </row>
    <row r="5" spans="1:1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1" ht="35.1" customHeight="1" x14ac:dyDescent="0.3">
      <c r="A6" s="27" t="s">
        <v>182</v>
      </c>
      <c r="B6" s="28" t="s">
        <v>183</v>
      </c>
      <c r="C6" s="128" t="s">
        <v>184</v>
      </c>
      <c r="D6" s="129"/>
      <c r="E6" s="129"/>
      <c r="F6" s="129"/>
      <c r="G6" s="129"/>
      <c r="H6" s="129"/>
      <c r="I6" s="130"/>
      <c r="J6" s="158" t="s">
        <v>187</v>
      </c>
    </row>
    <row r="7" spans="1:11" ht="15.6" x14ac:dyDescent="0.3">
      <c r="A7" s="31"/>
      <c r="B7" s="32"/>
      <c r="C7" s="33" t="s">
        <v>50</v>
      </c>
      <c r="D7" s="33" t="s">
        <v>51</v>
      </c>
      <c r="E7" s="33" t="s">
        <v>52</v>
      </c>
      <c r="F7" s="33" t="s">
        <v>53</v>
      </c>
      <c r="G7" s="33" t="s">
        <v>54</v>
      </c>
      <c r="H7" s="33" t="s">
        <v>55</v>
      </c>
      <c r="I7" s="33"/>
      <c r="J7" s="159"/>
    </row>
    <row r="8" spans="1:11" x14ac:dyDescent="0.3">
      <c r="A8" s="36"/>
      <c r="B8" s="37"/>
      <c r="C8" s="38"/>
      <c r="D8" s="39"/>
      <c r="E8" s="39"/>
      <c r="F8" s="39"/>
      <c r="G8" s="39"/>
      <c r="H8" s="39"/>
      <c r="I8" s="39"/>
      <c r="J8" s="39"/>
    </row>
    <row r="9" spans="1:11" ht="15.6" x14ac:dyDescent="0.3">
      <c r="A9" s="40"/>
      <c r="B9" s="41"/>
      <c r="C9" s="42"/>
      <c r="D9" s="43"/>
      <c r="E9" s="43"/>
      <c r="F9" s="43"/>
      <c r="G9" s="43"/>
      <c r="H9" s="43"/>
      <c r="I9" s="43"/>
      <c r="J9" s="43"/>
    </row>
    <row r="10" spans="1:11" ht="15.6" x14ac:dyDescent="0.3">
      <c r="A10" s="44"/>
      <c r="B10" s="45"/>
      <c r="C10" s="44"/>
      <c r="D10" s="44"/>
      <c r="E10" s="44"/>
      <c r="F10" s="44"/>
      <c r="G10" s="44"/>
      <c r="H10" s="44"/>
      <c r="I10" s="44"/>
      <c r="J10" s="44"/>
    </row>
    <row r="11" spans="1:11" ht="15.6" x14ac:dyDescent="0.3">
      <c r="A11" s="44">
        <v>1</v>
      </c>
      <c r="B11" s="46" t="s">
        <v>185</v>
      </c>
      <c r="C11" s="47">
        <f>'[1]Estimasi Penerimaan'!D29</f>
        <v>522600000</v>
      </c>
      <c r="D11" s="47">
        <f>'[1]Estimasi Penerimaan'!E29</f>
        <v>322000000</v>
      </c>
      <c r="E11" s="47">
        <f>'[1]Estimasi Penerimaan'!F29</f>
        <v>322000000</v>
      </c>
      <c r="F11" s="47">
        <f>'[1]Estimasi Penerimaan'!G29</f>
        <v>322000000</v>
      </c>
      <c r="G11" s="47">
        <f>'[1]Estimasi Penerimaan'!H29</f>
        <v>322000000</v>
      </c>
      <c r="H11" s="47">
        <f>'[1]Estimasi Penerimaan'!I29</f>
        <v>322000000</v>
      </c>
      <c r="I11" s="47">
        <f>'[1]Estimasi Penerimaan'!J29</f>
        <v>0</v>
      </c>
      <c r="J11" s="47">
        <f>SUM(C11:I11)+[4]Rekapitulasi!$J$11</f>
        <v>5167600000</v>
      </c>
    </row>
    <row r="12" spans="1:11" ht="15.6" x14ac:dyDescent="0.3">
      <c r="A12" s="44"/>
      <c r="B12" s="48"/>
      <c r="C12" s="47"/>
      <c r="D12" s="47"/>
      <c r="E12" s="47"/>
      <c r="F12" s="47"/>
      <c r="G12" s="47"/>
      <c r="H12" s="47"/>
      <c r="I12" s="47"/>
      <c r="J12" s="47"/>
    </row>
    <row r="13" spans="1:11" ht="15.6" x14ac:dyDescent="0.3">
      <c r="A13" s="44">
        <v>2</v>
      </c>
      <c r="B13" s="48" t="s">
        <v>186</v>
      </c>
      <c r="C13" s="47">
        <f>'[1]Rencana Alokasi Anggaran'!E111</f>
        <v>4576850000</v>
      </c>
      <c r="D13" s="47">
        <f>'[1]Rencana Alokasi Anggaran'!F111</f>
        <v>4</v>
      </c>
      <c r="E13" s="47">
        <f>'[1]Rencana Alokasi Anggaran'!G111</f>
        <v>5</v>
      </c>
      <c r="F13" s="47">
        <f>'[1]Rencana Alokasi Anggaran'!H111</f>
        <v>6</v>
      </c>
      <c r="G13" s="47">
        <f>'[1]Rencana Alokasi Anggaran'!I111</f>
        <v>7</v>
      </c>
      <c r="H13" s="47">
        <f>'[1]Rencana Alokasi Anggaran'!J111</f>
        <v>8</v>
      </c>
      <c r="I13" s="47"/>
      <c r="J13" s="47">
        <f>SUM(C13:I13)+[4]Rekapitulasi!$J$13</f>
        <v>4582550089</v>
      </c>
    </row>
    <row r="14" spans="1:11" ht="15.6" x14ac:dyDescent="0.3">
      <c r="A14" s="44"/>
      <c r="B14" s="48"/>
      <c r="C14" s="47"/>
      <c r="D14" s="47"/>
      <c r="E14" s="47"/>
      <c r="F14" s="47"/>
      <c r="G14" s="47"/>
      <c r="H14" s="47"/>
      <c r="I14" s="47"/>
      <c r="J14" s="47"/>
    </row>
    <row r="15" spans="1:11" ht="15.6" x14ac:dyDescent="0.3">
      <c r="A15" s="44"/>
      <c r="B15" s="46"/>
      <c r="C15" s="47"/>
      <c r="D15" s="47"/>
      <c r="E15" s="47"/>
      <c r="F15" s="47"/>
      <c r="G15" s="47"/>
      <c r="H15" s="47"/>
      <c r="I15" s="47"/>
      <c r="J15" s="47"/>
    </row>
    <row r="16" spans="1:11" x14ac:dyDescent="0.3">
      <c r="A16" s="44"/>
      <c r="B16" s="44"/>
      <c r="C16" s="47"/>
      <c r="D16" s="47"/>
      <c r="E16" s="47"/>
      <c r="F16" s="47"/>
      <c r="G16" s="47"/>
      <c r="H16" s="47"/>
      <c r="I16" s="47"/>
      <c r="J16" s="47"/>
    </row>
    <row r="17" spans="1:10" ht="15.6" x14ac:dyDescent="0.3">
      <c r="A17" s="50"/>
      <c r="B17" s="33" t="s">
        <v>66</v>
      </c>
      <c r="C17" s="51">
        <f>C11-C13</f>
        <v>-4054250000</v>
      </c>
      <c r="D17" s="51">
        <f t="shared" ref="D17:J17" si="0">D11-D13</f>
        <v>321999996</v>
      </c>
      <c r="E17" s="51">
        <f t="shared" si="0"/>
        <v>321999995</v>
      </c>
      <c r="F17" s="51">
        <f t="shared" si="0"/>
        <v>321999994</v>
      </c>
      <c r="G17" s="51">
        <f t="shared" si="0"/>
        <v>321999993</v>
      </c>
      <c r="H17" s="51">
        <f t="shared" si="0"/>
        <v>321999992</v>
      </c>
      <c r="I17" s="51">
        <f t="shared" si="0"/>
        <v>0</v>
      </c>
      <c r="J17" s="51">
        <f t="shared" si="0"/>
        <v>585049911</v>
      </c>
    </row>
    <row r="18" spans="1:10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10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.6" x14ac:dyDescent="0.3">
      <c r="A20" s="52"/>
      <c r="B20" s="52"/>
      <c r="C20" s="25"/>
      <c r="D20" s="25"/>
      <c r="E20" s="25"/>
      <c r="F20" s="25"/>
      <c r="G20" s="25"/>
      <c r="H20" s="25"/>
      <c r="I20" s="25"/>
      <c r="J20" s="25"/>
    </row>
    <row r="21" spans="1:10" x14ac:dyDescent="0.3">
      <c r="A21" s="25"/>
      <c r="B21" s="25"/>
      <c r="C21" s="25"/>
      <c r="D21" s="25"/>
      <c r="E21" s="25"/>
      <c r="F21" s="25"/>
      <c r="G21" s="25"/>
      <c r="H21" s="25"/>
      <c r="I21" s="25"/>
      <c r="J21" s="25"/>
    </row>
    <row r="22" spans="1:10" x14ac:dyDescent="0.3">
      <c r="A22" s="25"/>
      <c r="B22" s="25"/>
      <c r="C22" s="25"/>
      <c r="D22" s="25"/>
      <c r="E22" s="25"/>
      <c r="F22" s="25"/>
      <c r="G22" s="25"/>
      <c r="H22" s="25"/>
      <c r="I22" s="25"/>
      <c r="J22" s="25"/>
    </row>
    <row r="23" spans="1:10" x14ac:dyDescent="0.3">
      <c r="A23" s="25"/>
      <c r="B23" s="25"/>
      <c r="C23" s="25"/>
      <c r="D23" s="25"/>
      <c r="E23" s="25"/>
      <c r="F23" s="25"/>
      <c r="G23" s="25"/>
      <c r="H23" s="25"/>
      <c r="I23" s="25"/>
      <c r="J23" s="25"/>
    </row>
    <row r="24" spans="1:10" x14ac:dyDescent="0.3">
      <c r="A24" s="25"/>
      <c r="B24" s="25"/>
      <c r="C24" s="25"/>
      <c r="D24" s="25"/>
      <c r="E24" s="25"/>
      <c r="F24" s="25"/>
      <c r="G24" s="25"/>
      <c r="H24" s="25"/>
      <c r="I24" s="25"/>
      <c r="J24" s="25"/>
    </row>
    <row r="25" spans="1:10" x14ac:dyDescent="0.3">
      <c r="A25" s="25"/>
      <c r="B25" s="25"/>
      <c r="C25" s="25"/>
      <c r="D25" s="25"/>
      <c r="E25" s="25"/>
      <c r="F25" s="25"/>
      <c r="G25" s="25"/>
      <c r="H25" s="25"/>
      <c r="I25" s="25"/>
      <c r="J25" s="25"/>
    </row>
    <row r="26" spans="1:10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</row>
    <row r="27" spans="1:10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</row>
    <row r="28" spans="1:10" x14ac:dyDescent="0.3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10" x14ac:dyDescent="0.3">
      <c r="A29" s="25"/>
      <c r="B29" s="25"/>
      <c r="C29" s="25"/>
      <c r="D29" s="25"/>
      <c r="E29" s="25"/>
      <c r="F29" s="25"/>
      <c r="G29" s="25"/>
      <c r="H29" s="25"/>
      <c r="I29" s="25"/>
      <c r="J29" s="25"/>
    </row>
    <row r="30" spans="1:10" x14ac:dyDescent="0.3">
      <c r="A30" s="25"/>
      <c r="B30" s="25"/>
      <c r="C30" s="25"/>
      <c r="D30" s="25"/>
      <c r="E30" s="25"/>
      <c r="F30" s="25"/>
      <c r="G30" s="25"/>
      <c r="H30" s="25"/>
      <c r="I30" s="25"/>
      <c r="J30" s="25"/>
    </row>
    <row r="31" spans="1:10" x14ac:dyDescent="0.3">
      <c r="A31" s="25"/>
      <c r="B31" s="25"/>
      <c r="C31" s="25"/>
      <c r="D31" s="25"/>
      <c r="E31" s="25"/>
      <c r="F31" s="25"/>
      <c r="G31" s="25"/>
      <c r="H31" s="25"/>
      <c r="I31" s="25"/>
      <c r="J31" s="25"/>
    </row>
    <row r="32" spans="1:10" x14ac:dyDescent="0.3">
      <c r="A32" s="25"/>
      <c r="B32" s="25"/>
      <c r="C32" s="25"/>
      <c r="D32" s="25"/>
      <c r="E32" s="25"/>
      <c r="F32" s="25"/>
      <c r="G32" s="25"/>
      <c r="H32" s="25"/>
      <c r="I32" s="25"/>
      <c r="J32" s="25"/>
    </row>
    <row r="33" spans="1:10" x14ac:dyDescent="0.3">
      <c r="A33" s="25"/>
      <c r="B33" s="25"/>
      <c r="C33" s="25"/>
      <c r="D33" s="25"/>
      <c r="E33" s="25"/>
      <c r="F33" s="25"/>
      <c r="G33" s="25"/>
      <c r="H33" s="25"/>
      <c r="I33" s="25"/>
      <c r="J33" s="25"/>
    </row>
    <row r="34" spans="1:10" x14ac:dyDescent="0.3">
      <c r="A34" s="25"/>
      <c r="B34" s="25"/>
      <c r="C34" s="25"/>
      <c r="D34" s="25"/>
      <c r="E34" s="25"/>
      <c r="F34" s="25"/>
      <c r="G34" s="25"/>
      <c r="H34" s="25"/>
      <c r="I34" s="25"/>
      <c r="J34" s="25"/>
    </row>
    <row r="35" spans="1:10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</row>
    <row r="36" spans="1:10" x14ac:dyDescent="0.3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spans="1:10" x14ac:dyDescent="0.3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spans="1:10" x14ac:dyDescent="0.3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 x14ac:dyDescent="0.3">
      <c r="A39" s="25"/>
      <c r="B39" s="25"/>
      <c r="C39" s="25"/>
      <c r="D39" s="25"/>
      <c r="E39" s="25"/>
      <c r="F39" s="25"/>
      <c r="G39" s="25"/>
      <c r="H39" s="25"/>
      <c r="I39" s="25"/>
      <c r="J39" s="25"/>
    </row>
  </sheetData>
  <mergeCells count="6">
    <mergeCell ref="A1:J1"/>
    <mergeCell ref="A2:J2"/>
    <mergeCell ref="A3:J3"/>
    <mergeCell ref="A4:J4"/>
    <mergeCell ref="C6:I6"/>
    <mergeCell ref="J6:J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MHSW</vt:lpstr>
      <vt:lpstr>POTENSI GASAL</vt:lpstr>
      <vt:lpstr>Estimasi Penerimaan Gasal</vt:lpstr>
      <vt:lpstr>POTENSI GENAP</vt:lpstr>
      <vt:lpstr>Estimasi Penerimaan Genap</vt:lpstr>
      <vt:lpstr>Rencana Alokasi Anggaran</vt:lpstr>
      <vt:lpstr>Rekapitulasi T.A. 2023-2024</vt:lpstr>
      <vt:lpstr>Rekapitulasi Gsl&amp;Genap</vt:lpstr>
      <vt:lpstr>'Estimasi Penerimaan Gasal'!Print_Area</vt:lpstr>
      <vt:lpstr>'Estimasi Penerimaan Genap'!Print_Area</vt:lpstr>
      <vt:lpstr>MHSW!Print_Area</vt:lpstr>
      <vt:lpstr>'Rekapitulasi Gsl&amp;Genap'!Print_Area</vt:lpstr>
      <vt:lpstr>'Rekapitulasi T.A. 2023-2024'!Print_Area</vt:lpstr>
      <vt:lpstr>'Rencana Alokasi Anggaran'!Print_Area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FKIP Uninus</dc:creator>
  <cp:lastModifiedBy>titihendrawati1@gmail.com</cp:lastModifiedBy>
  <cp:lastPrinted>2023-10-23T02:51:53Z</cp:lastPrinted>
  <dcterms:created xsi:type="dcterms:W3CDTF">2020-03-10T07:56:24Z</dcterms:created>
  <dcterms:modified xsi:type="dcterms:W3CDTF">2026-10-04T05:44:41Z</dcterms:modified>
</cp:coreProperties>
</file>